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64B316F1-7C1D-460D-8BAE-292916EFEB58}" xr6:coauthVersionLast="47" xr6:coauthVersionMax="47" xr10:uidLastSave="{00000000-0000-0000-0000-000000000000}"/>
  <workbookProtection workbookAlgorithmName="SHA-512" workbookHashValue="9dJEif5YDaZCwbm2nMdQbUkiyxCvOSvEdLdDPFqZXWJMU+g+4BV/QbNXJm79yWf9fVLSuNgzGxWOMnfOf+XZJg==" workbookSaltValue="C8nM6mjTKR9UJR7kR414Rg==" workbookSpinCount="100000" lockStructure="1"/>
  <bookViews>
    <workbookView xWindow="-120" yWindow="-120" windowWidth="29040" windowHeight="15840" xr2:uid="{5F939F0E-B7C8-4EE0-A5CF-22394BFDF32C}"/>
  </bookViews>
  <sheets>
    <sheet name="ZU 2024 po 1.ZR a RORM 1-34-CEL" sheetId="1" r:id="rId1"/>
  </sheets>
  <definedNames>
    <definedName name="__DdeLink__9289_5144441" localSheetId="0">'ZU 2024 po 1.ZR a RORM 1-34-CEL'!#REF!</definedName>
    <definedName name="_xlnm.Print_Titles" localSheetId="0">'ZU 2024 po 1.ZR a RORM 1-34-CEL'!$1:$2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8" i="1" l="1"/>
  <c r="D286" i="1"/>
  <c r="D257" i="1"/>
  <c r="D249" i="1"/>
  <c r="D224" i="1"/>
  <c r="D203" i="1"/>
  <c r="F177" i="1"/>
  <c r="D177" i="1"/>
  <c r="D200" i="1"/>
  <c r="D144" i="1"/>
  <c r="D141" i="1"/>
  <c r="D99" i="1"/>
  <c r="D98" i="1"/>
  <c r="D83" i="1"/>
  <c r="F83" i="1" s="1"/>
  <c r="D82" i="1"/>
  <c r="F82" i="1" s="1"/>
  <c r="D71" i="1"/>
  <c r="F71" i="1" s="1"/>
  <c r="D70" i="1"/>
  <c r="F70" i="1" s="1"/>
  <c r="D64" i="1"/>
  <c r="F64" i="1" s="1"/>
  <c r="D63" i="1"/>
  <c r="F63" i="1" s="1"/>
  <c r="D79" i="1"/>
  <c r="F79" i="1" s="1"/>
  <c r="D78" i="1"/>
  <c r="F78" i="1" s="1"/>
  <c r="D67" i="1"/>
  <c r="F67" i="1" s="1"/>
  <c r="D66" i="1"/>
  <c r="F66" i="1" s="1"/>
  <c r="D74" i="1"/>
  <c r="F74" i="1" s="1"/>
  <c r="D73" i="1"/>
  <c r="F73" i="1" s="1"/>
  <c r="D48" i="1"/>
  <c r="D49" i="1"/>
  <c r="D29" i="1"/>
  <c r="F29" i="1" s="1"/>
  <c r="C24" i="1"/>
  <c r="E24" i="1"/>
  <c r="D26" i="1"/>
  <c r="D27" i="1"/>
  <c r="F27" i="1" s="1"/>
  <c r="F5" i="1"/>
  <c r="F26" i="1" l="1"/>
  <c r="F18" i="1"/>
  <c r="D32" i="1"/>
  <c r="F32" i="1" s="1"/>
  <c r="D8" i="1"/>
  <c r="F8" i="1" s="1"/>
  <c r="D6" i="1"/>
  <c r="F6" i="1" s="1"/>
  <c r="F301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147" i="1"/>
  <c r="F148" i="1"/>
  <c r="F105" i="1"/>
  <c r="F86" i="1"/>
  <c r="F84" i="1"/>
  <c r="E50" i="1"/>
  <c r="E46" i="1"/>
  <c r="E38" i="1"/>
  <c r="E33" i="1"/>
  <c r="F31" i="1"/>
  <c r="E338" i="1"/>
  <c r="E333" i="1"/>
  <c r="E318" i="1"/>
  <c r="E315" i="1"/>
  <c r="E312" i="1"/>
  <c r="E303" i="1"/>
  <c r="E296" i="1"/>
  <c r="E292" i="1"/>
  <c r="E284" i="1"/>
  <c r="E280" i="1"/>
  <c r="E263" i="1"/>
  <c r="E259" i="1"/>
  <c r="E255" i="1"/>
  <c r="E245" i="1"/>
  <c r="E240" i="1"/>
  <c r="E237" i="1"/>
  <c r="E230" i="1"/>
  <c r="E226" i="1"/>
  <c r="E222" i="1"/>
  <c r="E204" i="1"/>
  <c r="E201" i="1"/>
  <c r="E165" i="1"/>
  <c r="E142" i="1"/>
  <c r="E156" i="1"/>
  <c r="E55" i="1"/>
  <c r="E20" i="1"/>
  <c r="E9" i="1"/>
  <c r="F337" i="1"/>
  <c r="F327" i="1"/>
  <c r="F328" i="1"/>
  <c r="F329" i="1"/>
  <c r="F330" i="1"/>
  <c r="F331" i="1"/>
  <c r="F332" i="1"/>
  <c r="F326" i="1"/>
  <c r="F321" i="1"/>
  <c r="F320" i="1"/>
  <c r="F314" i="1"/>
  <c r="F307" i="1"/>
  <c r="F308" i="1"/>
  <c r="F309" i="1"/>
  <c r="F310" i="1"/>
  <c r="F311" i="1"/>
  <c r="F305" i="1"/>
  <c r="F299" i="1"/>
  <c r="F300" i="1"/>
  <c r="F302" i="1"/>
  <c r="F295" i="1"/>
  <c r="F294" i="1"/>
  <c r="F287" i="1"/>
  <c r="F288" i="1"/>
  <c r="F289" i="1"/>
  <c r="F290" i="1"/>
  <c r="F291" i="1"/>
  <c r="F286" i="1"/>
  <c r="F283" i="1"/>
  <c r="F282" i="1"/>
  <c r="F279" i="1"/>
  <c r="F262" i="1"/>
  <c r="F261" i="1"/>
  <c r="F258" i="1"/>
  <c r="F252" i="1"/>
  <c r="F253" i="1"/>
  <c r="F254" i="1"/>
  <c r="F249" i="1"/>
  <c r="F250" i="1"/>
  <c r="F251" i="1"/>
  <c r="F247" i="1"/>
  <c r="F243" i="1"/>
  <c r="F244" i="1"/>
  <c r="F239" i="1"/>
  <c r="F233" i="1"/>
  <c r="F232" i="1"/>
  <c r="F228" i="1"/>
  <c r="F225" i="1"/>
  <c r="F224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07" i="1"/>
  <c r="F208" i="1"/>
  <c r="F206" i="1"/>
  <c r="F168" i="1"/>
  <c r="F169" i="1"/>
  <c r="F170" i="1"/>
  <c r="F171" i="1"/>
  <c r="F172" i="1"/>
  <c r="F173" i="1"/>
  <c r="F174" i="1"/>
  <c r="F175" i="1"/>
  <c r="F176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167" i="1"/>
  <c r="F159" i="1"/>
  <c r="F160" i="1"/>
  <c r="F161" i="1"/>
  <c r="F162" i="1"/>
  <c r="F163" i="1"/>
  <c r="F145" i="1"/>
  <c r="F146" i="1"/>
  <c r="F149" i="1"/>
  <c r="F150" i="1"/>
  <c r="F151" i="1"/>
  <c r="F152" i="1"/>
  <c r="F153" i="1"/>
  <c r="F154" i="1"/>
  <c r="F155" i="1"/>
  <c r="F58" i="1"/>
  <c r="F59" i="1"/>
  <c r="F60" i="1"/>
  <c r="F61" i="1"/>
  <c r="F62" i="1"/>
  <c r="F65" i="1"/>
  <c r="F68" i="1"/>
  <c r="F69" i="1"/>
  <c r="F72" i="1"/>
  <c r="F75" i="1"/>
  <c r="F76" i="1"/>
  <c r="F77" i="1"/>
  <c r="F80" i="1"/>
  <c r="F81" i="1"/>
  <c r="F85" i="1"/>
  <c r="F87" i="1"/>
  <c r="F88" i="1"/>
  <c r="F89" i="1"/>
  <c r="F90" i="1"/>
  <c r="F91" i="1"/>
  <c r="F92" i="1"/>
  <c r="F93" i="1"/>
  <c r="F94" i="1"/>
  <c r="F95" i="1"/>
  <c r="F96" i="1"/>
  <c r="F97" i="1"/>
  <c r="F100" i="1"/>
  <c r="F101" i="1"/>
  <c r="F102" i="1"/>
  <c r="F103" i="1"/>
  <c r="F104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53" i="1"/>
  <c r="F54" i="1"/>
  <c r="F52" i="1"/>
  <c r="F41" i="1"/>
  <c r="F42" i="1"/>
  <c r="F43" i="1"/>
  <c r="F44" i="1"/>
  <c r="F36" i="1"/>
  <c r="F35" i="1"/>
  <c r="F13" i="1"/>
  <c r="F14" i="1"/>
  <c r="F15" i="1"/>
  <c r="F16" i="1"/>
  <c r="F17" i="1"/>
  <c r="F19" i="1"/>
  <c r="F7" i="1"/>
  <c r="F48" i="1"/>
  <c r="D317" i="1"/>
  <c r="D315" i="1" s="1"/>
  <c r="F298" i="1"/>
  <c r="D255" i="1"/>
  <c r="D248" i="1"/>
  <c r="F248" i="1" s="1"/>
  <c r="D229" i="1"/>
  <c r="F229" i="1" s="1"/>
  <c r="F203" i="1"/>
  <c r="D158" i="1"/>
  <c r="F158" i="1" s="1"/>
  <c r="D164" i="1"/>
  <c r="F164" i="1" s="1"/>
  <c r="F49" i="1"/>
  <c r="D28" i="1"/>
  <c r="F28" i="1" s="1"/>
  <c r="D265" i="1"/>
  <c r="D263" i="1" s="1"/>
  <c r="F144" i="1"/>
  <c r="D57" i="1"/>
  <c r="F57" i="1" s="1"/>
  <c r="F99" i="1"/>
  <c r="F98" i="1"/>
  <c r="D45" i="1"/>
  <c r="F45" i="1" s="1"/>
  <c r="D40" i="1"/>
  <c r="F40" i="1" s="1"/>
  <c r="D30" i="1"/>
  <c r="F30" i="1" s="1"/>
  <c r="D12" i="1"/>
  <c r="F12" i="1" s="1"/>
  <c r="D338" i="1"/>
  <c r="C338" i="1"/>
  <c r="D333" i="1"/>
  <c r="C333" i="1"/>
  <c r="D318" i="1"/>
  <c r="C318" i="1"/>
  <c r="C315" i="1"/>
  <c r="D312" i="1"/>
  <c r="C312" i="1"/>
  <c r="D306" i="1"/>
  <c r="D303" i="1" s="1"/>
  <c r="C303" i="1"/>
  <c r="C296" i="1"/>
  <c r="D292" i="1"/>
  <c r="C292" i="1"/>
  <c r="D284" i="1"/>
  <c r="C284" i="1"/>
  <c r="D280" i="1"/>
  <c r="C280" i="1"/>
  <c r="C263" i="1"/>
  <c r="D259" i="1"/>
  <c r="C259" i="1"/>
  <c r="C255" i="1"/>
  <c r="C245" i="1"/>
  <c r="D242" i="1"/>
  <c r="F242" i="1" s="1"/>
  <c r="C240" i="1"/>
  <c r="D237" i="1"/>
  <c r="C237" i="1"/>
  <c r="D230" i="1"/>
  <c r="C230" i="1"/>
  <c r="C226" i="1"/>
  <c r="D222" i="1"/>
  <c r="C222" i="1"/>
  <c r="D221" i="1"/>
  <c r="F221" i="1" s="1"/>
  <c r="C204" i="1"/>
  <c r="C201" i="1"/>
  <c r="D165" i="1"/>
  <c r="C165" i="1"/>
  <c r="C156" i="1"/>
  <c r="C142" i="1"/>
  <c r="F141" i="1"/>
  <c r="D118" i="1"/>
  <c r="F118" i="1" s="1"/>
  <c r="D117" i="1"/>
  <c r="F117" i="1" s="1"/>
  <c r="D116" i="1"/>
  <c r="F116" i="1" s="1"/>
  <c r="D115" i="1"/>
  <c r="F115" i="1" s="1"/>
  <c r="D114" i="1"/>
  <c r="F114" i="1" s="1"/>
  <c r="D113" i="1"/>
  <c r="F113" i="1" s="1"/>
  <c r="D112" i="1"/>
  <c r="F112" i="1" s="1"/>
  <c r="D111" i="1"/>
  <c r="F111" i="1" s="1"/>
  <c r="D110" i="1"/>
  <c r="F110" i="1" s="1"/>
  <c r="D109" i="1"/>
  <c r="F109" i="1" s="1"/>
  <c r="D108" i="1"/>
  <c r="F108" i="1" s="1"/>
  <c r="D107" i="1"/>
  <c r="F107" i="1" s="1"/>
  <c r="D106" i="1"/>
  <c r="F106" i="1" s="1"/>
  <c r="C55" i="1"/>
  <c r="D50" i="1"/>
  <c r="C50" i="1"/>
  <c r="C46" i="1"/>
  <c r="C38" i="1"/>
  <c r="D37" i="1"/>
  <c r="F37" i="1" s="1"/>
  <c r="C33" i="1"/>
  <c r="C20" i="1"/>
  <c r="C9" i="1"/>
  <c r="D24" i="1" l="1"/>
  <c r="F24" i="1" s="1"/>
  <c r="F333" i="1"/>
  <c r="F222" i="1"/>
  <c r="F318" i="1"/>
  <c r="F292" i="1"/>
  <c r="F259" i="1"/>
  <c r="F280" i="1"/>
  <c r="F284" i="1"/>
  <c r="D201" i="1"/>
  <c r="F201" i="1" s="1"/>
  <c r="F237" i="1"/>
  <c r="F255" i="1"/>
  <c r="E322" i="1"/>
  <c r="F303" i="1"/>
  <c r="F230" i="1"/>
  <c r="F312" i="1"/>
  <c r="F257" i="1"/>
  <c r="F263" i="1"/>
  <c r="E234" i="1"/>
  <c r="F306" i="1"/>
  <c r="F338" i="1"/>
  <c r="F265" i="1"/>
  <c r="F165" i="1"/>
  <c r="F317" i="1"/>
  <c r="F50" i="1"/>
  <c r="F315" i="1"/>
  <c r="E21" i="1"/>
  <c r="D245" i="1"/>
  <c r="F245" i="1" s="1"/>
  <c r="D156" i="1"/>
  <c r="F156" i="1" s="1"/>
  <c r="D46" i="1"/>
  <c r="F46" i="1" s="1"/>
  <c r="D142" i="1"/>
  <c r="F142" i="1" s="1"/>
  <c r="D296" i="1"/>
  <c r="F296" i="1" s="1"/>
  <c r="D9" i="1"/>
  <c r="F9" i="1" s="1"/>
  <c r="C21" i="1"/>
  <c r="D38" i="1"/>
  <c r="F38" i="1" s="1"/>
  <c r="D55" i="1"/>
  <c r="F55" i="1" s="1"/>
  <c r="C234" i="1"/>
  <c r="D240" i="1"/>
  <c r="F240" i="1" s="1"/>
  <c r="D20" i="1"/>
  <c r="F20" i="1" s="1"/>
  <c r="C322" i="1"/>
  <c r="D204" i="1"/>
  <c r="F204" i="1" s="1"/>
  <c r="D33" i="1"/>
  <c r="F33" i="1" s="1"/>
  <c r="D226" i="1"/>
  <c r="F226" i="1" s="1"/>
  <c r="E323" i="1" l="1"/>
  <c r="E334" i="1" s="1"/>
  <c r="D322" i="1"/>
  <c r="F322" i="1" s="1"/>
  <c r="D21" i="1"/>
  <c r="F21" i="1" s="1"/>
  <c r="C323" i="1"/>
  <c r="D234" i="1"/>
  <c r="F234" i="1" s="1"/>
  <c r="C334" i="1" l="1"/>
  <c r="D323" i="1"/>
  <c r="D334" i="1" s="1"/>
  <c r="F323" i="1" l="1"/>
  <c r="F334" i="1"/>
</calcChain>
</file>

<file path=xl/sharedStrings.xml><?xml version="1.0" encoding="utf-8"?>
<sst xmlns="http://schemas.openxmlformats.org/spreadsheetml/2006/main" count="502" uniqueCount="314">
  <si>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</si>
  <si>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</si>
  <si>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</si>
  <si>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</si>
  <si>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</si>
  <si>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</si>
  <si>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</si>
  <si>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</si>
  <si>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</si>
  <si>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</si>
  <si>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</si>
  <si>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</si>
  <si>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</si>
  <si>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</si>
  <si>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</si>
  <si>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</si>
  <si>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</si>
  <si>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</si>
  <si>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</si>
  <si>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</si>
  <si>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</si>
  <si>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</si>
  <si>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</si>
  <si>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</si>
  <si>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</si>
  <si>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</si>
  <si>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</si>
  <si>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</si>
  <si>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</si>
  <si>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</si>
  <si>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</si>
  <si>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</si>
  <si>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</si>
  <si>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</si>
  <si>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</si>
  <si>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</si>
  <si>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</si>
  <si>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</si>
  <si>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</si>
  <si>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</si>
  <si>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</si>
  <si>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</si>
  <si>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</si>
  <si>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</si>
  <si>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</si>
  <si>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</si>
  <si>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</si>
  <si>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</si>
  <si>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</si>
  <si>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</si>
  <si>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</si>
  <si>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</si>
  <si>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</si>
  <si>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</si>
  <si>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</si>
  <si>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</si>
  <si>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</si>
  <si>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</si>
  <si>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</si>
  <si>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</si>
  <si>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</si>
  <si>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</si>
  <si>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</si>
  <si>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</si>
  <si>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</si>
  <si>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</si>
  <si>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</si>
  <si>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</si>
  <si>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</si>
  <si>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</si>
  <si>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</si>
  <si>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</si>
  <si>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</si>
  <si>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</si>
  <si>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</si>
  <si>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</si>
  <si>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</si>
  <si>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</si>
  <si>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</si>
  <si>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</si>
  <si>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</si>
  <si>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</si>
  <si>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</si>
  <si>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</si>
  <si>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</si>
  <si>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</si>
  <si>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</si>
  <si>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</si>
  <si>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</si>
  <si>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</si>
  <si>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</si>
  <si>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</si>
  <si>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</si>
  <si>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</si>
  <si>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</si>
  <si>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</si>
  <si>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</si>
  <si>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</si>
  <si>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</si>
  <si>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</si>
  <si>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</si>
  <si>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</si>
  <si>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</si>
  <si>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</si>
  <si>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</si>
  <si>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</si>
  <si>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</si>
  <si>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</si>
  <si>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</si>
  <si>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</si>
  <si>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</si>
  <si>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</si>
  <si>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</si>
  <si>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</si>
  <si>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</si>
  <si>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</si>
  <si>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</si>
  <si>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</si>
  <si>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</si>
  <si>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</si>
  <si>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</si>
  <si>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</si>
  <si>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</si>
  <si>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</si>
  <si>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</si>
  <si>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</si>
  <si>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</si>
  <si>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</si>
  <si>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</si>
  <si>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</si>
  <si>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</si>
  <si>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</si>
  <si>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</si>
  <si>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</si>
  <si>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</si>
  <si>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</si>
  <si>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</si>
  <si>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</si>
  <si>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</si>
  <si>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</si>
  <si>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</si>
  <si>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</si>
  <si>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</si>
  <si>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</si>
  <si>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</si>
  <si>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</si>
  <si>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</si>
  <si>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</si>
  <si>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</si>
  <si>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</si>
  <si>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</si>
  <si>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</si>
  <si>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</si>
  <si>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</si>
  <si>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</si>
  <si>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</si>
  <si>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</si>
  <si>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</si>
  <si>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</si>
  <si>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</si>
  <si>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</si>
  <si>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</si>
  <si>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</si>
  <si>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</si>
  <si>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</si>
  <si>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</si>
  <si>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</si>
  <si>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</si>
  <si>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</si>
  <si>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</si>
  <si>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</si>
  <si>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</si>
  <si>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</si>
  <si>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</si>
  <si>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</si>
  <si>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</si>
  <si>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</si>
  <si>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</si>
  <si>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</si>
  <si>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</si>
  <si>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</si>
  <si>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</si>
  <si>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</si>
  <si>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</si>
  <si>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</si>
  <si>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</si>
  <si>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</si>
  <si>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</si>
  <si>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</si>
  <si>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</si>
  <si>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</si>
  <si>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</si>
  <si>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</si>
  <si>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</si>
  <si>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</si>
  <si>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</si>
  <si>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</si>
  <si>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</si>
  <si>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</si>
  <si>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</si>
  <si>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</si>
  <si>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</si>
  <si>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</si>
  <si>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</si>
  <si>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</si>
  <si>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</si>
  <si>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</si>
  <si>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</si>
  <si>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</si>
  <si>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</si>
  <si>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</si>
  <si>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</si>
  <si>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</si>
  <si>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</si>
  <si>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</si>
  <si>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</si>
  <si>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</si>
  <si>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</si>
  <si>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</si>
  <si>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</si>
  <si>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</si>
  <si>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</si>
  <si>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</si>
  <si>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</si>
  <si>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</si>
  <si>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</si>
  <si>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</si>
  <si>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</si>
  <si>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</si>
  <si>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</si>
  <si>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</si>
  <si>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</si>
  <si>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</si>
  <si>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</si>
  <si>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</si>
  <si>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</si>
  <si>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</si>
  <si>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</si>
  <si>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</si>
  <si>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</si>
  <si>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</si>
  <si>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</si>
  <si>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</si>
  <si>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</si>
  <si>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</si>
  <si>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</si>
  <si>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</si>
  <si>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</si>
  <si>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</si>
  <si>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</si>
  <si>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</si>
  <si>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</si>
  <si>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</si>
  <si>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</si>
  <si>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</si>
  <si>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</si>
  <si>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</si>
  <si>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</si>
  <si>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</si>
  <si>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</si>
  <si>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</si>
  <si>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</si>
  <si>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</si>
  <si>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</si>
  <si>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</si>
  <si>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</si>
  <si>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</si>
  <si>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</si>
  <si>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</si>
  <si>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</si>
  <si>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</si>
  <si>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</si>
  <si>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</si>
  <si>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</si>
  <si>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</si>
  <si>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</si>
  <si>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</si>
  <si>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</si>
  <si>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</si>
  <si>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</si>
  <si>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</si>
  <si>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</si>
  <si>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</si>
  <si>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</si>
  <si>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</si>
  <si>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</si>
  <si>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</si>
  <si>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</si>
  <si>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</si>
  <si>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</si>
  <si>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</si>
  <si>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</si>
  <si>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</si>
  <si>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</si>
  <si>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</si>
  <si>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 eskydské pediatrické dny 2024</t>
    </r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</si>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</sst>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right" vertical="center"/>
    </xf>
    <xf numFmtId="4" fontId="4" fillId="0" borderId="11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right" vertical="center"/>
    </xf>
    <xf numFmtId="4" fontId="4" fillId="0" borderId="14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5" fillId="4" borderId="16" xfId="0" applyNumberFormat="1" applyFont="1" applyFill="1" applyBorder="1" applyAlignment="1">
      <alignment vertical="center"/>
    </xf>
    <xf numFmtId="4" fontId="0" fillId="0" borderId="0" xfId="0" applyNumberFormat="1"/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5" borderId="16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1" xfId="0" applyNumberFormat="1" applyFont="1" applyFill="1" applyBorder="1" applyAlignment="1">
      <alignment vertical="center"/>
    </xf>
    <xf numFmtId="4" fontId="4" fillId="0" borderId="11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3" fillId="5" borderId="16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4" fontId="5" fillId="6" borderId="16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4" fontId="4" fillId="7" borderId="16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4" fontId="3" fillId="8" borderId="16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1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4" fontId="4" fillId="3" borderId="18" xfId="0" applyNumberFormat="1" applyFont="1" applyFill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3" borderId="18" xfId="0" applyFont="1" applyFill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4" fillId="3" borderId="22" xfId="0" applyFont="1" applyFill="1" applyBorder="1" applyAlignment="1">
      <alignment horizontal="center" vertical="center"/>
    </xf>
    <xf numFmtId="4" fontId="4" fillId="3" borderId="22" xfId="0" applyNumberFormat="1" applyFont="1" applyFill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19" xfId="0" applyFont="1" applyBorder="1" applyAlignment="1">
      <alignment vertical="center" wrapText="1"/>
    </xf>
    <xf numFmtId="0" fontId="9" fillId="0" borderId="0" xfId="0" applyFont="1"/>
    <xf numFmtId="0" fontId="4" fillId="3" borderId="10" xfId="0" applyFont="1" applyFill="1" applyBorder="1" applyAlignment="1">
      <alignment vertical="center" wrapText="1"/>
    </xf>
    <xf numFmtId="4" fontId="4" fillId="0" borderId="11" xfId="0" applyNumberFormat="1" applyFont="1" applyBorder="1"/>
    <xf numFmtId="0" fontId="0" fillId="0" borderId="11" xfId="0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vertical="center" wrapText="1"/>
    </xf>
    <xf numFmtId="4" fontId="4" fillId="3" borderId="14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4" fontId="3" fillId="7" borderId="16" xfId="0" applyNumberFormat="1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3" fillId="3" borderId="24" xfId="0" applyFont="1" applyFill="1" applyBorder="1" applyAlignment="1">
      <alignment horizontal="center" vertical="center"/>
    </xf>
    <xf numFmtId="4" fontId="3" fillId="3" borderId="24" xfId="0" applyNumberFormat="1" applyFont="1" applyFill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7" fillId="7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4" fontId="13" fillId="8" borderId="3" xfId="0" applyNumberFormat="1" applyFont="1" applyFill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" fontId="3" fillId="8" borderId="27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0" fontId="3" fillId="5" borderId="31" xfId="0" applyFont="1" applyFill="1" applyBorder="1" applyAlignment="1">
      <alignment horizontal="center" vertical="center"/>
    </xf>
    <xf numFmtId="4" fontId="7" fillId="5" borderId="31" xfId="0" applyNumberFormat="1" applyFont="1" applyFill="1" applyBorder="1" applyAlignment="1">
      <alignment vertical="center"/>
    </xf>
    <xf numFmtId="4" fontId="7" fillId="5" borderId="32" xfId="0" applyNumberFormat="1" applyFont="1" applyFill="1" applyBorder="1" applyAlignment="1">
      <alignment vertical="center"/>
    </xf>
    <xf numFmtId="0" fontId="0" fillId="3" borderId="0" xfId="0" applyFill="1"/>
    <xf numFmtId="0" fontId="5" fillId="3" borderId="23" xfId="0" applyFont="1" applyFill="1" applyBorder="1" applyAlignment="1">
      <alignment vertical="center" wrapText="1"/>
    </xf>
    <xf numFmtId="0" fontId="5" fillId="3" borderId="24" xfId="0" applyFont="1" applyFill="1" applyBorder="1" applyAlignment="1">
      <alignment horizontal="center" vertical="center"/>
    </xf>
    <xf numFmtId="4" fontId="5" fillId="3" borderId="24" xfId="0" applyNumberFormat="1" applyFont="1" applyFill="1" applyBorder="1" applyAlignment="1">
      <alignment vertical="center"/>
    </xf>
    <xf numFmtId="0" fontId="1" fillId="2" borderId="33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3" fillId="4" borderId="33" xfId="0" applyFont="1" applyFill="1" applyBorder="1" applyAlignment="1">
      <alignment horizontal="right" vertical="center"/>
    </xf>
    <xf numFmtId="4" fontId="4" fillId="0" borderId="22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36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4" fontId="3" fillId="8" borderId="33" xfId="0" applyNumberFormat="1" applyFont="1" applyFill="1" applyBorder="1" applyAlignment="1">
      <alignment vertical="center"/>
    </xf>
    <xf numFmtId="4" fontId="4" fillId="0" borderId="38" xfId="0" applyNumberFormat="1" applyFont="1" applyBorder="1" applyAlignment="1">
      <alignment vertical="center"/>
    </xf>
    <xf numFmtId="4" fontId="4" fillId="0" borderId="39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7" fillId="5" borderId="35" xfId="0" applyNumberFormat="1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40" xfId="0" applyFont="1" applyBorder="1" applyAlignment="1">
      <alignment vertical="center"/>
    </xf>
    <xf numFmtId="0" fontId="4" fillId="0" borderId="41" xfId="0" applyFont="1" applyBorder="1" applyAlignment="1">
      <alignment horizontal="center"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4" fontId="4" fillId="0" borderId="43" xfId="0" applyNumberFormat="1" applyFont="1" applyBorder="1" applyAlignment="1">
      <alignment vertical="center"/>
    </xf>
    <xf numFmtId="4" fontId="4" fillId="0" borderId="44" xfId="0" applyNumberFormat="1" applyFont="1" applyBorder="1" applyAlignment="1">
      <alignment vertical="center"/>
    </xf>
    <xf numFmtId="4" fontId="4" fillId="0" borderId="45" xfId="0" applyNumberFormat="1" applyFont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vertical="center"/>
    </xf>
    <xf numFmtId="0" fontId="4" fillId="3" borderId="41" xfId="0" applyFont="1" applyFill="1" applyBorder="1" applyAlignment="1">
      <alignment horizontal="center" vertical="center"/>
    </xf>
    <xf numFmtId="4" fontId="4" fillId="3" borderId="41" xfId="0" applyNumberFormat="1" applyFont="1" applyFill="1" applyBorder="1" applyAlignment="1">
      <alignment vertical="center"/>
    </xf>
    <xf numFmtId="0" fontId="4" fillId="0" borderId="40" xfId="0" applyFont="1" applyBorder="1" applyAlignment="1">
      <alignment vertical="center" wrapText="1"/>
    </xf>
    <xf numFmtId="4" fontId="6" fillId="0" borderId="18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horizontal="right" vertical="center"/>
    </xf>
    <xf numFmtId="0" fontId="7" fillId="8" borderId="31" xfId="0" applyFont="1" applyFill="1" applyBorder="1" applyAlignment="1">
      <alignment horizontal="center" vertical="center"/>
    </xf>
    <xf numFmtId="4" fontId="3" fillId="8" borderId="31" xfId="0" applyNumberFormat="1" applyFont="1" applyFill="1" applyBorder="1" applyAlignment="1">
      <alignment vertical="center"/>
    </xf>
    <xf numFmtId="4" fontId="3" fillId="8" borderId="35" xfId="0" applyNumberFormat="1" applyFont="1" applyFill="1" applyBorder="1" applyAlignment="1">
      <alignment vertical="center"/>
    </xf>
    <xf numFmtId="4" fontId="3" fillId="8" borderId="32" xfId="0" applyNumberFormat="1" applyFont="1" applyFill="1" applyBorder="1" applyAlignment="1">
      <alignment vertical="center"/>
    </xf>
    <xf numFmtId="0" fontId="7" fillId="8" borderId="30" xfId="0" applyFont="1" applyFill="1" applyBorder="1" applyAlignment="1">
      <alignment vertical="center"/>
    </xf>
    <xf numFmtId="0" fontId="7" fillId="8" borderId="3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G341"/>
  <sheetViews>
    <sheetView tabSelected="1" view="pageLayout" zoomScale="110" zoomScaleNormal="100" zoomScalePageLayoutView="110" workbookViewId="0">
      <selection activeCell="A19" sqref="A19"/>
    </sheetView>
  </sheetViews>
  <sheetFormatPr defaultColWidth="9.140625" defaultRowHeight="15" x14ac:dyDescent="0.25"/>
  <cols>
    <col min="1" max="1" width="60.7109375" customWidth="1"/>
    <col min="2" max="2" width="17.5703125" customWidth="1"/>
    <col min="3" max="5" width="13.42578125" customWidth="1"/>
    <col min="6" max="6" width="13.140625" customWidth="1"/>
    <col min="7" max="7" width="12.85546875" customWidth="1"/>
    <col min="11" max="11" width="11" customWidth="1"/>
  </cols>
  <sheetData>
    <row r="1" spans="1:7" ht="72" customHeight="1" thickBot="1" x14ac:dyDescent="0.3">
      <c r="A1" s="1" t="s">
        <v>0</v>
      </c>
      <c r="B1" s="2" t="s">
        <v>1</v>
      </c>
      <c r="C1" s="3" t="s">
        <v>2</v>
      </c>
      <c r="D1" s="3" t="s">
        <v>292</v>
      </c>
      <c r="E1" s="125" t="s">
        <v>293</v>
      </c>
      <c r="F1" s="146" t="s">
        <v>294</v>
      </c>
    </row>
    <row r="2" spans="1:7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126" t="s">
        <v>7</v>
      </c>
      <c r="F2" s="147" t="s">
        <v>270</v>
      </c>
    </row>
    <row r="3" spans="1:7" ht="9.75" customHeight="1" thickBot="1" x14ac:dyDescent="0.3">
      <c r="A3" s="7"/>
      <c r="B3" s="8"/>
      <c r="C3" s="9"/>
      <c r="D3" s="9"/>
      <c r="E3" s="127"/>
      <c r="F3" s="148"/>
    </row>
    <row r="4" spans="1:7" ht="13.5" customHeight="1" thickBot="1" x14ac:dyDescent="0.3">
      <c r="A4" s="10" t="s">
        <v>8</v>
      </c>
      <c r="B4" s="11"/>
      <c r="C4" s="12"/>
      <c r="D4" s="13"/>
      <c r="E4" s="128"/>
      <c r="F4" s="149"/>
    </row>
    <row r="5" spans="1:7" ht="15" customHeight="1" x14ac:dyDescent="0.25">
      <c r="A5" s="14" t="s">
        <v>9</v>
      </c>
      <c r="B5" s="15"/>
      <c r="C5" s="16">
        <v>1236720</v>
      </c>
      <c r="D5" s="16">
        <v>0</v>
      </c>
      <c r="E5" s="129">
        <v>4377.25</v>
      </c>
      <c r="F5" s="17">
        <f>SUM(C5:E5)</f>
        <v>1241097.25</v>
      </c>
    </row>
    <row r="6" spans="1:7" ht="15" customHeight="1" x14ac:dyDescent="0.25">
      <c r="A6" s="18" t="s">
        <v>10</v>
      </c>
      <c r="B6" s="19"/>
      <c r="C6" s="20">
        <v>183315</v>
      </c>
      <c r="D6" s="20">
        <f>464.64+421.2+355.59</f>
        <v>1241.4299999999998</v>
      </c>
      <c r="E6" s="130">
        <v>5579.59</v>
      </c>
      <c r="F6" s="17">
        <f>SUM(C6:E6)</f>
        <v>190136.02</v>
      </c>
    </row>
    <row r="7" spans="1:7" ht="15" customHeight="1" x14ac:dyDescent="0.25">
      <c r="A7" s="18" t="s">
        <v>11</v>
      </c>
      <c r="B7" s="19"/>
      <c r="C7" s="20">
        <v>1500</v>
      </c>
      <c r="D7" s="20">
        <v>0</v>
      </c>
      <c r="E7" s="130">
        <v>0</v>
      </c>
      <c r="F7" s="17">
        <f t="shared" ref="F7:F8" si="0">SUM(C7:E7)</f>
        <v>1500</v>
      </c>
    </row>
    <row r="8" spans="1:7" ht="13.5" customHeight="1" thickBot="1" x14ac:dyDescent="0.3">
      <c r="A8" s="22" t="s">
        <v>12</v>
      </c>
      <c r="B8" s="23"/>
      <c r="C8" s="24">
        <v>153641.62</v>
      </c>
      <c r="D8" s="24">
        <f>185.4+331.56</f>
        <v>516.96</v>
      </c>
      <c r="E8" s="131">
        <v>1195.6199999999999</v>
      </c>
      <c r="F8" s="17">
        <f t="shared" si="0"/>
        <v>155354.19999999998</v>
      </c>
    </row>
    <row r="9" spans="1:7" ht="16.5" customHeight="1" thickBot="1" x14ac:dyDescent="0.3">
      <c r="A9" s="26" t="s">
        <v>13</v>
      </c>
      <c r="B9" s="27"/>
      <c r="C9" s="28">
        <f t="shared" ref="C9" si="1">SUM(C5:C8)</f>
        <v>1575176.62</v>
      </c>
      <c r="D9" s="28">
        <f>SUM(D5:D8)</f>
        <v>1758.3899999999999</v>
      </c>
      <c r="E9" s="132">
        <f>SUM(E5:E8)</f>
        <v>11152.46</v>
      </c>
      <c r="F9" s="29">
        <f>SUM(C9:E9)</f>
        <v>1588087.47</v>
      </c>
      <c r="G9" s="30"/>
    </row>
    <row r="10" spans="1:7" ht="10.5" customHeight="1" thickBot="1" x14ac:dyDescent="0.3">
      <c r="A10" s="31"/>
      <c r="B10" s="32"/>
      <c r="C10" s="33"/>
      <c r="D10" s="33"/>
      <c r="E10" s="133"/>
      <c r="F10" s="34"/>
    </row>
    <row r="11" spans="1:7" ht="15" customHeight="1" thickBot="1" x14ac:dyDescent="0.3">
      <c r="A11" s="35" t="s">
        <v>14</v>
      </c>
      <c r="B11" s="36"/>
      <c r="C11" s="37"/>
      <c r="D11" s="37"/>
      <c r="E11" s="134"/>
      <c r="F11" s="38"/>
    </row>
    <row r="12" spans="1:7" x14ac:dyDescent="0.25">
      <c r="A12" s="14" t="s">
        <v>15</v>
      </c>
      <c r="B12" s="15"/>
      <c r="C12" s="39">
        <v>408497.84</v>
      </c>
      <c r="D12" s="39">
        <f>77.23</f>
        <v>77.23</v>
      </c>
      <c r="E12" s="129">
        <v>75986.880000000005</v>
      </c>
      <c r="F12" s="17">
        <f>SUM(C12:E12)</f>
        <v>484561.95</v>
      </c>
    </row>
    <row r="13" spans="1:7" x14ac:dyDescent="0.25">
      <c r="A13" s="18" t="s">
        <v>16</v>
      </c>
      <c r="B13" s="19"/>
      <c r="C13" s="40">
        <v>139450.20000000001</v>
      </c>
      <c r="D13" s="40">
        <v>0</v>
      </c>
      <c r="E13" s="130">
        <v>185421.03</v>
      </c>
      <c r="F13" s="17">
        <f t="shared" ref="F13:F19" si="2">SUM(C13:E13)</f>
        <v>324871.23</v>
      </c>
    </row>
    <row r="14" spans="1:7" ht="15" customHeight="1" x14ac:dyDescent="0.25">
      <c r="A14" s="18" t="s">
        <v>17</v>
      </c>
      <c r="B14" s="19"/>
      <c r="C14" s="20">
        <v>12655</v>
      </c>
      <c r="D14" s="20">
        <v>0</v>
      </c>
      <c r="E14" s="130">
        <v>0</v>
      </c>
      <c r="F14" s="17">
        <f t="shared" si="2"/>
        <v>12655</v>
      </c>
    </row>
    <row r="15" spans="1:7" ht="23.25" customHeight="1" x14ac:dyDescent="0.25">
      <c r="A15" s="18" t="s">
        <v>18</v>
      </c>
      <c r="B15" s="19"/>
      <c r="C15" s="41">
        <v>2450</v>
      </c>
      <c r="D15" s="41">
        <v>0</v>
      </c>
      <c r="E15" s="130">
        <v>0</v>
      </c>
      <c r="F15" s="17">
        <f t="shared" si="2"/>
        <v>2450</v>
      </c>
    </row>
    <row r="16" spans="1:7" ht="15" customHeight="1" x14ac:dyDescent="0.25">
      <c r="A16" s="18" t="s">
        <v>19</v>
      </c>
      <c r="B16" s="19"/>
      <c r="C16" s="41">
        <v>0</v>
      </c>
      <c r="D16" s="41">
        <v>0</v>
      </c>
      <c r="E16" s="130">
        <v>0</v>
      </c>
      <c r="F16" s="17">
        <f t="shared" si="2"/>
        <v>0</v>
      </c>
    </row>
    <row r="17" spans="1:7" ht="17.25" customHeight="1" x14ac:dyDescent="0.25">
      <c r="A17" s="18" t="s">
        <v>20</v>
      </c>
      <c r="B17" s="19"/>
      <c r="C17" s="41">
        <v>3000</v>
      </c>
      <c r="D17" s="41">
        <v>0</v>
      </c>
      <c r="E17" s="130">
        <v>0</v>
      </c>
      <c r="F17" s="17">
        <f t="shared" si="2"/>
        <v>3000</v>
      </c>
    </row>
    <row r="18" spans="1:7" ht="14.25" customHeight="1" x14ac:dyDescent="0.25">
      <c r="A18" s="42" t="s">
        <v>21</v>
      </c>
      <c r="B18" s="19"/>
      <c r="C18" s="41">
        <v>0</v>
      </c>
      <c r="D18" s="41">
        <v>0</v>
      </c>
      <c r="E18" s="130">
        <v>0</v>
      </c>
      <c r="F18" s="17">
        <f>SUM(C18:E18)</f>
        <v>0</v>
      </c>
    </row>
    <row r="19" spans="1:7" ht="15" customHeight="1" thickBot="1" x14ac:dyDescent="0.3">
      <c r="A19" s="22" t="s">
        <v>22</v>
      </c>
      <c r="B19" s="23"/>
      <c r="C19" s="24">
        <v>0</v>
      </c>
      <c r="D19" s="24">
        <v>0</v>
      </c>
      <c r="E19" s="131">
        <v>0</v>
      </c>
      <c r="F19" s="17">
        <f t="shared" si="2"/>
        <v>0</v>
      </c>
    </row>
    <row r="20" spans="1:7" ht="14.25" customHeight="1" thickBot="1" x14ac:dyDescent="0.3">
      <c r="A20" s="35" t="s">
        <v>23</v>
      </c>
      <c r="B20" s="43"/>
      <c r="C20" s="44">
        <f>SUM(C12:C19)</f>
        <v>566053.04</v>
      </c>
      <c r="D20" s="44">
        <f>SUM(D12:D19)</f>
        <v>77.23</v>
      </c>
      <c r="E20" s="135">
        <f>SUM(E12:E19)</f>
        <v>261407.91</v>
      </c>
      <c r="F20" s="45">
        <f>SUM(C20:E20)</f>
        <v>827538.18</v>
      </c>
      <c r="G20" s="30"/>
    </row>
    <row r="21" spans="1:7" ht="17.25" customHeight="1" thickBot="1" x14ac:dyDescent="0.3">
      <c r="A21" s="46" t="s">
        <v>24</v>
      </c>
      <c r="B21" s="47"/>
      <c r="C21" s="48">
        <f>SUM(C9+C20)</f>
        <v>2141229.66</v>
      </c>
      <c r="D21" s="48">
        <f>SUM(D9+D20)</f>
        <v>1835.62</v>
      </c>
      <c r="E21" s="136">
        <f>E9+E20</f>
        <v>272560.37</v>
      </c>
      <c r="F21" s="49">
        <f>SUM(C21:E21)</f>
        <v>2415625.6500000004</v>
      </c>
      <c r="G21" s="30"/>
    </row>
    <row r="22" spans="1:7" ht="13.5" customHeight="1" thickBot="1" x14ac:dyDescent="0.3">
      <c r="A22" s="31"/>
      <c r="B22" s="32"/>
      <c r="C22" s="33"/>
      <c r="D22" s="33"/>
      <c r="E22" s="133"/>
      <c r="F22" s="34"/>
    </row>
    <row r="23" spans="1:7" ht="14.25" customHeight="1" thickBot="1" x14ac:dyDescent="0.3">
      <c r="A23" s="50" t="s">
        <v>25</v>
      </c>
      <c r="B23" s="51"/>
      <c r="C23" s="52"/>
      <c r="D23" s="52"/>
      <c r="E23" s="137"/>
      <c r="F23" s="53"/>
    </row>
    <row r="24" spans="1:7" ht="16.350000000000001" customHeight="1" thickBot="1" x14ac:dyDescent="0.3">
      <c r="A24" s="54" t="s">
        <v>26</v>
      </c>
      <c r="B24" s="55"/>
      <c r="C24" s="56">
        <f>SUM(C26:C32)</f>
        <v>7639</v>
      </c>
      <c r="D24" s="56">
        <f>SUM(D26:D32)</f>
        <v>10</v>
      </c>
      <c r="E24" s="138">
        <f>SUM(E26:E32)</f>
        <v>0</v>
      </c>
      <c r="F24" s="57">
        <f>SUM(C24:E24)</f>
        <v>7649</v>
      </c>
      <c r="G24" s="30"/>
    </row>
    <row r="25" spans="1:7" x14ac:dyDescent="0.25">
      <c r="A25" s="58" t="s">
        <v>27</v>
      </c>
      <c r="B25" s="15"/>
      <c r="C25" s="16"/>
      <c r="D25" s="16"/>
      <c r="E25" s="129"/>
      <c r="F25" s="17"/>
    </row>
    <row r="26" spans="1:7" ht="30.75" customHeight="1" x14ac:dyDescent="0.25">
      <c r="A26" s="58" t="s">
        <v>296</v>
      </c>
      <c r="B26" s="15" t="s">
        <v>297</v>
      </c>
      <c r="C26" s="16">
        <v>0</v>
      </c>
      <c r="D26" s="16">
        <f>40</f>
        <v>40</v>
      </c>
      <c r="E26" s="129">
        <v>0</v>
      </c>
      <c r="F26" s="17">
        <f>SUM(C26:E26)</f>
        <v>40</v>
      </c>
    </row>
    <row r="27" spans="1:7" ht="30" x14ac:dyDescent="0.25">
      <c r="A27" s="58" t="s">
        <v>295</v>
      </c>
      <c r="B27" s="15" t="s">
        <v>114</v>
      </c>
      <c r="C27" s="16">
        <v>0</v>
      </c>
      <c r="D27" s="16">
        <f>50</f>
        <v>50</v>
      </c>
      <c r="E27" s="129">
        <v>0</v>
      </c>
      <c r="F27" s="17">
        <f>SUM(C27:E27)</f>
        <v>50</v>
      </c>
    </row>
    <row r="28" spans="1:7" ht="15" customHeight="1" x14ac:dyDescent="0.25">
      <c r="A28" s="64" t="s">
        <v>268</v>
      </c>
      <c r="B28" s="65" t="s">
        <v>269</v>
      </c>
      <c r="C28" s="20">
        <v>0</v>
      </c>
      <c r="D28" s="20">
        <f>28</f>
        <v>28</v>
      </c>
      <c r="E28" s="130">
        <v>0</v>
      </c>
      <c r="F28" s="21">
        <f>SUM(C28:E28)</f>
        <v>28</v>
      </c>
    </row>
    <row r="29" spans="1:7" ht="28.5" customHeight="1" x14ac:dyDescent="0.25">
      <c r="A29" s="64" t="s">
        <v>298</v>
      </c>
      <c r="B29" s="65" t="s">
        <v>299</v>
      </c>
      <c r="C29" s="20">
        <v>0</v>
      </c>
      <c r="D29" s="20">
        <f>20</f>
        <v>20</v>
      </c>
      <c r="E29" s="130">
        <v>0</v>
      </c>
      <c r="F29" s="21">
        <f>SUM(C29:E29)</f>
        <v>20</v>
      </c>
    </row>
    <row r="30" spans="1:7" ht="42" customHeight="1" x14ac:dyDescent="0.25">
      <c r="A30" s="64" t="s">
        <v>271</v>
      </c>
      <c r="B30" s="65" t="s">
        <v>264</v>
      </c>
      <c r="C30" s="20">
        <v>0</v>
      </c>
      <c r="D30" s="20">
        <f>50</f>
        <v>50</v>
      </c>
      <c r="E30" s="130">
        <v>0</v>
      </c>
      <c r="F30" s="21">
        <f t="shared" ref="F30:F31" si="3">SUM(C30:E30)</f>
        <v>50</v>
      </c>
    </row>
    <row r="31" spans="1:7" ht="16.5" customHeight="1" x14ac:dyDescent="0.25">
      <c r="A31" s="64" t="s">
        <v>272</v>
      </c>
      <c r="B31" s="150" t="s">
        <v>121</v>
      </c>
      <c r="C31" s="20">
        <v>0</v>
      </c>
      <c r="D31" s="20">
        <v>0</v>
      </c>
      <c r="E31" s="20">
        <v>80</v>
      </c>
      <c r="F31" s="25">
        <f t="shared" si="3"/>
        <v>80</v>
      </c>
    </row>
    <row r="32" spans="1:7" ht="15.75" customHeight="1" thickBot="1" x14ac:dyDescent="0.3">
      <c r="A32" s="59" t="s">
        <v>28</v>
      </c>
      <c r="B32" s="60"/>
      <c r="C32" s="24">
        <v>7639</v>
      </c>
      <c r="D32" s="24">
        <f>-50-28-100</f>
        <v>-178</v>
      </c>
      <c r="E32" s="131">
        <v>-80</v>
      </c>
      <c r="F32" s="21">
        <f>SUM(C32:E32)</f>
        <v>7381</v>
      </c>
      <c r="G32" s="30"/>
    </row>
    <row r="33" spans="1:7" ht="15" customHeight="1" thickBot="1" x14ac:dyDescent="0.3">
      <c r="A33" s="61" t="s">
        <v>29</v>
      </c>
      <c r="B33" s="62"/>
      <c r="C33" s="56">
        <f>SUM(C35:C37)</f>
        <v>324123</v>
      </c>
      <c r="D33" s="56">
        <f>SUM(D35:D37)</f>
        <v>-50</v>
      </c>
      <c r="E33" s="138">
        <f>SUM(E35:E37)</f>
        <v>0</v>
      </c>
      <c r="F33" s="57">
        <f>SUM(C33:E33)</f>
        <v>324073</v>
      </c>
      <c r="G33" s="30"/>
    </row>
    <row r="34" spans="1:7" ht="14.25" customHeight="1" x14ac:dyDescent="0.25">
      <c r="A34" s="58" t="s">
        <v>27</v>
      </c>
      <c r="B34" s="63"/>
      <c r="C34" s="16"/>
      <c r="D34" s="16"/>
      <c r="E34" s="129"/>
      <c r="F34" s="17"/>
    </row>
    <row r="35" spans="1:7" ht="15" customHeight="1" x14ac:dyDescent="0.25">
      <c r="A35" s="64" t="s">
        <v>30</v>
      </c>
      <c r="B35" s="65"/>
      <c r="C35" s="20">
        <v>700</v>
      </c>
      <c r="D35" s="20">
        <v>0</v>
      </c>
      <c r="E35" s="130">
        <v>0</v>
      </c>
      <c r="F35" s="21">
        <f>SUM(C35:E35)</f>
        <v>700</v>
      </c>
    </row>
    <row r="36" spans="1:7" ht="15" customHeight="1" x14ac:dyDescent="0.25">
      <c r="A36" s="64" t="s">
        <v>31</v>
      </c>
      <c r="B36" s="65"/>
      <c r="C36" s="20">
        <v>12655</v>
      </c>
      <c r="D36" s="20">
        <v>0</v>
      </c>
      <c r="E36" s="130">
        <v>0</v>
      </c>
      <c r="F36" s="21">
        <f t="shared" ref="F36:F37" si="4">SUM(C36:E36)</f>
        <v>12655</v>
      </c>
    </row>
    <row r="37" spans="1:7" ht="15" customHeight="1" thickBot="1" x14ac:dyDescent="0.3">
      <c r="A37" s="59" t="s">
        <v>32</v>
      </c>
      <c r="B37" s="60"/>
      <c r="C37" s="24">
        <v>310768</v>
      </c>
      <c r="D37" s="24">
        <f>-50</f>
        <v>-50</v>
      </c>
      <c r="E37" s="131">
        <v>0</v>
      </c>
      <c r="F37" s="21">
        <f t="shared" si="4"/>
        <v>310718</v>
      </c>
    </row>
    <row r="38" spans="1:7" ht="14.25" customHeight="1" thickBot="1" x14ac:dyDescent="0.3">
      <c r="A38" s="54" t="s">
        <v>33</v>
      </c>
      <c r="B38" s="66"/>
      <c r="C38" s="56">
        <f t="shared" ref="C38" si="5">SUM(C40:C45)</f>
        <v>49692.41</v>
      </c>
      <c r="D38" s="56">
        <f>SUM(D40:D45)</f>
        <v>77.22999999999999</v>
      </c>
      <c r="E38" s="138">
        <f>SUM(E40:E45)</f>
        <v>6377.25</v>
      </c>
      <c r="F38" s="57">
        <f>SUM(C38:E38)</f>
        <v>56146.890000000007</v>
      </c>
      <c r="G38" s="30"/>
    </row>
    <row r="39" spans="1:7" ht="12.75" customHeight="1" x14ac:dyDescent="0.25">
      <c r="A39" s="58" t="s">
        <v>27</v>
      </c>
      <c r="B39" s="63"/>
      <c r="C39" s="16"/>
      <c r="D39" s="16"/>
      <c r="E39" s="129"/>
      <c r="F39" s="17"/>
    </row>
    <row r="40" spans="1:7" ht="17.25" customHeight="1" x14ac:dyDescent="0.25">
      <c r="A40" s="42" t="s">
        <v>34</v>
      </c>
      <c r="B40" s="67"/>
      <c r="C40" s="20">
        <v>0</v>
      </c>
      <c r="D40" s="20">
        <f>20</f>
        <v>20</v>
      </c>
      <c r="E40" s="130">
        <v>0</v>
      </c>
      <c r="F40" s="21">
        <f>SUM(C40:E40)</f>
        <v>20</v>
      </c>
    </row>
    <row r="41" spans="1:7" ht="15" customHeight="1" x14ac:dyDescent="0.25">
      <c r="A41" s="64" t="s">
        <v>35</v>
      </c>
      <c r="B41" s="65" t="s">
        <v>36</v>
      </c>
      <c r="C41" s="20">
        <v>20000</v>
      </c>
      <c r="D41" s="20">
        <v>0</v>
      </c>
      <c r="E41" s="130">
        <v>0</v>
      </c>
      <c r="F41" s="21">
        <f t="shared" ref="F41:F45" si="6">SUM(C41:E41)</f>
        <v>20000</v>
      </c>
    </row>
    <row r="42" spans="1:7" ht="15" customHeight="1" x14ac:dyDescent="0.25">
      <c r="A42" s="64" t="s">
        <v>37</v>
      </c>
      <c r="B42" s="65"/>
      <c r="C42" s="20">
        <v>3215.41</v>
      </c>
      <c r="D42" s="20">
        <v>0</v>
      </c>
      <c r="E42" s="130">
        <v>0</v>
      </c>
      <c r="F42" s="21">
        <f t="shared" si="6"/>
        <v>3215.41</v>
      </c>
    </row>
    <row r="43" spans="1:7" ht="15" customHeight="1" x14ac:dyDescent="0.25">
      <c r="A43" s="64" t="s">
        <v>38</v>
      </c>
      <c r="B43" s="65"/>
      <c r="C43" s="20">
        <v>200</v>
      </c>
      <c r="D43" s="20">
        <v>0</v>
      </c>
      <c r="E43" s="130">
        <v>0</v>
      </c>
      <c r="F43" s="21">
        <f t="shared" si="6"/>
        <v>200</v>
      </c>
    </row>
    <row r="44" spans="1:7" ht="15" customHeight="1" x14ac:dyDescent="0.25">
      <c r="A44" s="64" t="s">
        <v>39</v>
      </c>
      <c r="B44" s="65"/>
      <c r="C44" s="20">
        <v>2000</v>
      </c>
      <c r="D44" s="20">
        <v>0</v>
      </c>
      <c r="E44" s="130">
        <v>0</v>
      </c>
      <c r="F44" s="21">
        <f t="shared" si="6"/>
        <v>2000</v>
      </c>
    </row>
    <row r="45" spans="1:7" ht="15.75" customHeight="1" thickBot="1" x14ac:dyDescent="0.3">
      <c r="A45" s="59" t="s">
        <v>40</v>
      </c>
      <c r="B45" s="60"/>
      <c r="C45" s="24">
        <v>24277</v>
      </c>
      <c r="D45" s="24">
        <f>57.23</f>
        <v>57.23</v>
      </c>
      <c r="E45" s="131">
        <v>6377.25</v>
      </c>
      <c r="F45" s="21">
        <f t="shared" si="6"/>
        <v>30711.48</v>
      </c>
    </row>
    <row r="46" spans="1:7" ht="14.25" customHeight="1" thickBot="1" x14ac:dyDescent="0.3">
      <c r="A46" s="54" t="s">
        <v>41</v>
      </c>
      <c r="B46" s="62"/>
      <c r="C46" s="56">
        <f>SUM(C48:C49)</f>
        <v>154593.59</v>
      </c>
      <c r="D46" s="56">
        <f>SUM(D48:D49)</f>
        <v>-7815.75</v>
      </c>
      <c r="E46" s="138">
        <f>SUM(E48:E49)</f>
        <v>23563.32</v>
      </c>
      <c r="F46" s="57">
        <f>SUM(C46:E46)</f>
        <v>170341.16</v>
      </c>
      <c r="G46" s="30"/>
    </row>
    <row r="47" spans="1:7" ht="12.75" customHeight="1" x14ac:dyDescent="0.25">
      <c r="A47" s="58" t="s">
        <v>27</v>
      </c>
      <c r="B47" s="63"/>
      <c r="C47" s="16"/>
      <c r="D47" s="16"/>
      <c r="E47" s="129"/>
      <c r="F47" s="17"/>
    </row>
    <row r="48" spans="1:7" ht="15" customHeight="1" x14ac:dyDescent="0.25">
      <c r="A48" s="64" t="s">
        <v>30</v>
      </c>
      <c r="B48" s="65"/>
      <c r="C48" s="20">
        <v>61129.09</v>
      </c>
      <c r="D48" s="20">
        <f>-7964.48+419.4-2000+421.2-706.68</f>
        <v>-9830.56</v>
      </c>
      <c r="E48" s="130">
        <v>23206.32</v>
      </c>
      <c r="F48" s="21">
        <f>SUM(C48:E48)</f>
        <v>74504.850000000006</v>
      </c>
    </row>
    <row r="49" spans="1:7" ht="17.25" customHeight="1" thickBot="1" x14ac:dyDescent="0.3">
      <c r="A49" s="64" t="s">
        <v>42</v>
      </c>
      <c r="B49" s="65"/>
      <c r="C49" s="20">
        <v>93464.5</v>
      </c>
      <c r="D49" s="20">
        <f>27.59+1718.22+269</f>
        <v>2014.81</v>
      </c>
      <c r="E49" s="20">
        <v>357</v>
      </c>
      <c r="F49" s="21">
        <f>SUM(C49:E49)</f>
        <v>95836.31</v>
      </c>
    </row>
    <row r="50" spans="1:7" ht="15.75" customHeight="1" thickBot="1" x14ac:dyDescent="0.3">
      <c r="A50" s="171" t="s">
        <v>43</v>
      </c>
      <c r="B50" s="166"/>
      <c r="C50" s="167">
        <f t="shared" ref="C50" si="7">SUM(C52:C54)</f>
        <v>2282.77</v>
      </c>
      <c r="D50" s="167">
        <f>SUM(D52:D54)</f>
        <v>0</v>
      </c>
      <c r="E50" s="168">
        <f>SUM(E52:E54)</f>
        <v>0</v>
      </c>
      <c r="F50" s="57">
        <f>SUM(C50:E50)</f>
        <v>2282.77</v>
      </c>
      <c r="G50" s="30"/>
    </row>
    <row r="51" spans="1:7" ht="10.5" customHeight="1" x14ac:dyDescent="0.25">
      <c r="A51" s="68" t="s">
        <v>27</v>
      </c>
      <c r="B51" s="63"/>
      <c r="C51" s="16"/>
      <c r="D51" s="16"/>
      <c r="E51" s="129"/>
      <c r="F51" s="17"/>
    </row>
    <row r="52" spans="1:7" ht="17.25" customHeight="1" x14ac:dyDescent="0.25">
      <c r="A52" s="18" t="s">
        <v>44</v>
      </c>
      <c r="B52" s="69" t="s">
        <v>45</v>
      </c>
      <c r="C52" s="20">
        <v>15</v>
      </c>
      <c r="D52" s="20">
        <v>0</v>
      </c>
      <c r="E52" s="130">
        <v>0</v>
      </c>
      <c r="F52" s="21">
        <f>SUM(C52:E52)</f>
        <v>15</v>
      </c>
    </row>
    <row r="53" spans="1:7" ht="15" customHeight="1" x14ac:dyDescent="0.25">
      <c r="A53" s="70" t="s">
        <v>30</v>
      </c>
      <c r="B53" s="65"/>
      <c r="C53" s="20">
        <v>64.12</v>
      </c>
      <c r="D53" s="20">
        <v>0</v>
      </c>
      <c r="E53" s="130">
        <v>0</v>
      </c>
      <c r="F53" s="21">
        <f t="shared" ref="F53:F54" si="8">SUM(C53:E53)</f>
        <v>64.12</v>
      </c>
    </row>
    <row r="54" spans="1:7" ht="15" customHeight="1" thickBot="1" x14ac:dyDescent="0.3">
      <c r="A54" s="71" t="s">
        <v>46</v>
      </c>
      <c r="B54" s="60"/>
      <c r="C54" s="24">
        <v>2203.65</v>
      </c>
      <c r="D54" s="24">
        <v>0</v>
      </c>
      <c r="E54" s="131">
        <v>0</v>
      </c>
      <c r="F54" s="21">
        <f t="shared" si="8"/>
        <v>2203.65</v>
      </c>
    </row>
    <row r="55" spans="1:7" ht="14.25" customHeight="1" thickBot="1" x14ac:dyDescent="0.3">
      <c r="A55" s="72" t="s">
        <v>47</v>
      </c>
      <c r="B55" s="66"/>
      <c r="C55" s="56">
        <f>SUM(C57:C141)</f>
        <v>314663.33999999997</v>
      </c>
      <c r="D55" s="56">
        <f>SUM(D57:D141)</f>
        <v>591.24000000000024</v>
      </c>
      <c r="E55" s="138">
        <f>SUM(E57:E141)</f>
        <v>3748.33</v>
      </c>
      <c r="F55" s="57">
        <f>SUM(C55:E55)</f>
        <v>319002.90999999997</v>
      </c>
      <c r="G55" s="30"/>
    </row>
    <row r="56" spans="1:7" ht="12.75" customHeight="1" x14ac:dyDescent="0.25">
      <c r="A56" s="73" t="s">
        <v>27</v>
      </c>
      <c r="B56" s="63"/>
      <c r="C56" s="16"/>
      <c r="D56" s="16"/>
      <c r="E56" s="129"/>
      <c r="F56" s="17"/>
    </row>
    <row r="57" spans="1:7" ht="15" customHeight="1" x14ac:dyDescent="0.25">
      <c r="A57" s="70" t="s">
        <v>30</v>
      </c>
      <c r="B57" s="69"/>
      <c r="C57" s="20">
        <v>5300</v>
      </c>
      <c r="D57" s="20">
        <f>-140</f>
        <v>-140</v>
      </c>
      <c r="E57" s="130">
        <v>1850</v>
      </c>
      <c r="F57" s="21">
        <f>SUM(C57:E57)</f>
        <v>7010</v>
      </c>
    </row>
    <row r="58" spans="1:7" ht="17.25" customHeight="1" x14ac:dyDescent="0.25">
      <c r="A58" s="18" t="s">
        <v>48</v>
      </c>
      <c r="B58" s="69" t="s">
        <v>49</v>
      </c>
      <c r="C58" s="20">
        <v>7400</v>
      </c>
      <c r="D58" s="20">
        <v>0</v>
      </c>
      <c r="E58" s="164">
        <v>0</v>
      </c>
      <c r="F58" s="21">
        <f t="shared" ref="F58:F136" si="9">SUM(C58:E58)</f>
        <v>7400</v>
      </c>
    </row>
    <row r="59" spans="1:7" ht="15" customHeight="1" x14ac:dyDescent="0.25">
      <c r="A59" s="18" t="s">
        <v>50</v>
      </c>
      <c r="B59" s="69" t="s">
        <v>51</v>
      </c>
      <c r="C59" s="20">
        <v>3500</v>
      </c>
      <c r="D59" s="20">
        <v>0</v>
      </c>
      <c r="E59" s="164">
        <v>-320</v>
      </c>
      <c r="F59" s="21">
        <f t="shared" si="9"/>
        <v>3180</v>
      </c>
    </row>
    <row r="60" spans="1:7" ht="25.5" customHeight="1" x14ac:dyDescent="0.25">
      <c r="A60" s="18" t="s">
        <v>52</v>
      </c>
      <c r="B60" s="69" t="s">
        <v>53</v>
      </c>
      <c r="C60" s="20">
        <v>900</v>
      </c>
      <c r="D60" s="20">
        <v>0</v>
      </c>
      <c r="E60" s="130">
        <v>0</v>
      </c>
      <c r="F60" s="21">
        <f t="shared" si="9"/>
        <v>900</v>
      </c>
    </row>
    <row r="61" spans="1:7" ht="15" customHeight="1" x14ac:dyDescent="0.25">
      <c r="A61" s="70" t="s">
        <v>54</v>
      </c>
      <c r="B61" s="65" t="s">
        <v>55</v>
      </c>
      <c r="C61" s="40">
        <v>42922</v>
      </c>
      <c r="D61" s="40">
        <v>0</v>
      </c>
      <c r="E61" s="130">
        <v>0</v>
      </c>
      <c r="F61" s="21">
        <f t="shared" si="9"/>
        <v>42922</v>
      </c>
    </row>
    <row r="62" spans="1:7" ht="15" customHeight="1" x14ac:dyDescent="0.25">
      <c r="A62" s="70" t="s">
        <v>56</v>
      </c>
      <c r="B62" s="69" t="s">
        <v>36</v>
      </c>
      <c r="C62" s="40">
        <v>3692</v>
      </c>
      <c r="D62" s="40">
        <v>0</v>
      </c>
      <c r="E62" s="130">
        <v>95</v>
      </c>
      <c r="F62" s="21">
        <f t="shared" si="9"/>
        <v>3787</v>
      </c>
    </row>
    <row r="63" spans="1:7" ht="15" customHeight="1" x14ac:dyDescent="0.25">
      <c r="A63" s="70" t="s">
        <v>307</v>
      </c>
      <c r="B63" s="69" t="s">
        <v>301</v>
      </c>
      <c r="C63" s="40">
        <v>0</v>
      </c>
      <c r="D63" s="40">
        <f>38.94</f>
        <v>38.94</v>
      </c>
      <c r="E63" s="130">
        <v>0</v>
      </c>
      <c r="F63" s="21">
        <f>SUM(C63:E63)</f>
        <v>38.94</v>
      </c>
    </row>
    <row r="64" spans="1:7" ht="15" customHeight="1" x14ac:dyDescent="0.25">
      <c r="A64" s="70" t="s">
        <v>308</v>
      </c>
      <c r="B64" s="69" t="s">
        <v>301</v>
      </c>
      <c r="C64" s="40">
        <v>0</v>
      </c>
      <c r="D64" s="40">
        <f>4.33</f>
        <v>4.33</v>
      </c>
      <c r="E64" s="130">
        <v>0</v>
      </c>
      <c r="F64" s="21">
        <f>SUM(C64:E64)</f>
        <v>4.33</v>
      </c>
    </row>
    <row r="65" spans="1:6" ht="15" customHeight="1" x14ac:dyDescent="0.25">
      <c r="A65" s="70" t="s">
        <v>57</v>
      </c>
      <c r="B65" s="69" t="s">
        <v>36</v>
      </c>
      <c r="C65" s="40">
        <v>4544</v>
      </c>
      <c r="D65" s="40">
        <v>0</v>
      </c>
      <c r="E65" s="130">
        <v>110</v>
      </c>
      <c r="F65" s="21">
        <f t="shared" si="9"/>
        <v>4654</v>
      </c>
    </row>
    <row r="66" spans="1:6" ht="15" customHeight="1" x14ac:dyDescent="0.25">
      <c r="A66" s="70" t="s">
        <v>303</v>
      </c>
      <c r="B66" s="69" t="s">
        <v>301</v>
      </c>
      <c r="C66" s="40">
        <v>0</v>
      </c>
      <c r="D66" s="40">
        <f>63.04</f>
        <v>63.04</v>
      </c>
      <c r="E66" s="130">
        <v>0</v>
      </c>
      <c r="F66" s="21">
        <f>SUM(C66:E66)</f>
        <v>63.04</v>
      </c>
    </row>
    <row r="67" spans="1:6" ht="15" customHeight="1" x14ac:dyDescent="0.25">
      <c r="A67" s="70" t="s">
        <v>304</v>
      </c>
      <c r="B67" s="69" t="s">
        <v>301</v>
      </c>
      <c r="C67" s="40">
        <v>0</v>
      </c>
      <c r="D67" s="40">
        <f>7.01</f>
        <v>7.01</v>
      </c>
      <c r="E67" s="130">
        <v>0</v>
      </c>
      <c r="F67" s="21">
        <f>SUM(C67:E67)</f>
        <v>7.01</v>
      </c>
    </row>
    <row r="68" spans="1:6" ht="15.75" customHeight="1" x14ac:dyDescent="0.25">
      <c r="A68" s="18" t="s">
        <v>58</v>
      </c>
      <c r="B68" s="69" t="s">
        <v>36</v>
      </c>
      <c r="C68" s="40">
        <v>1725</v>
      </c>
      <c r="D68" s="40">
        <v>0</v>
      </c>
      <c r="E68" s="130">
        <v>50</v>
      </c>
      <c r="F68" s="21">
        <f t="shared" si="9"/>
        <v>1775</v>
      </c>
    </row>
    <row r="69" spans="1:6" ht="15" customHeight="1" x14ac:dyDescent="0.25">
      <c r="A69" s="18" t="s">
        <v>59</v>
      </c>
      <c r="B69" s="69" t="s">
        <v>36</v>
      </c>
      <c r="C69" s="40">
        <v>4652</v>
      </c>
      <c r="D69" s="40">
        <v>0</v>
      </c>
      <c r="E69" s="130">
        <v>401</v>
      </c>
      <c r="F69" s="21">
        <f t="shared" si="9"/>
        <v>5053</v>
      </c>
    </row>
    <row r="70" spans="1:6" ht="15" customHeight="1" x14ac:dyDescent="0.25">
      <c r="A70" s="18" t="s">
        <v>309</v>
      </c>
      <c r="B70" s="69" t="s">
        <v>301</v>
      </c>
      <c r="C70" s="40">
        <v>0</v>
      </c>
      <c r="D70" s="40">
        <f>85.29</f>
        <v>85.29</v>
      </c>
      <c r="E70" s="130">
        <v>0</v>
      </c>
      <c r="F70" s="21">
        <f>SUM(C70:E70)</f>
        <v>85.29</v>
      </c>
    </row>
    <row r="71" spans="1:6" ht="15" customHeight="1" x14ac:dyDescent="0.25">
      <c r="A71" s="18" t="s">
        <v>310</v>
      </c>
      <c r="B71" s="69" t="s">
        <v>301</v>
      </c>
      <c r="C71" s="40">
        <v>0</v>
      </c>
      <c r="D71" s="40">
        <f>9.48</f>
        <v>9.48</v>
      </c>
      <c r="E71" s="130">
        <v>0</v>
      </c>
      <c r="F71" s="21">
        <f>SUM(C71:E71)</f>
        <v>9.48</v>
      </c>
    </row>
    <row r="72" spans="1:6" ht="15" customHeight="1" x14ac:dyDescent="0.25">
      <c r="A72" s="70" t="s">
        <v>60</v>
      </c>
      <c r="B72" s="69" t="s">
        <v>36</v>
      </c>
      <c r="C72" s="40">
        <v>4512</v>
      </c>
      <c r="D72" s="40">
        <v>0</v>
      </c>
      <c r="E72" s="130">
        <v>461</v>
      </c>
      <c r="F72" s="21">
        <f t="shared" si="9"/>
        <v>4973</v>
      </c>
    </row>
    <row r="73" spans="1:6" ht="15" customHeight="1" x14ac:dyDescent="0.25">
      <c r="A73" s="70" t="s">
        <v>300</v>
      </c>
      <c r="B73" s="69" t="s">
        <v>301</v>
      </c>
      <c r="C73" s="40">
        <v>0</v>
      </c>
      <c r="D73" s="40">
        <f>83.43</f>
        <v>83.43</v>
      </c>
      <c r="E73" s="130">
        <v>0</v>
      </c>
      <c r="F73" s="21">
        <f>SUM(C73:E73)</f>
        <v>83.43</v>
      </c>
    </row>
    <row r="74" spans="1:6" ht="15" customHeight="1" x14ac:dyDescent="0.25">
      <c r="A74" s="70" t="s">
        <v>302</v>
      </c>
      <c r="B74" s="69" t="s">
        <v>301</v>
      </c>
      <c r="C74" s="40">
        <v>0</v>
      </c>
      <c r="D74" s="40">
        <f>9.27</f>
        <v>9.27</v>
      </c>
      <c r="E74" s="130">
        <v>0</v>
      </c>
      <c r="F74" s="21">
        <f>SUM(C74:E74)</f>
        <v>9.27</v>
      </c>
    </row>
    <row r="75" spans="1:6" ht="15" customHeight="1" x14ac:dyDescent="0.25">
      <c r="A75" s="70" t="s">
        <v>61</v>
      </c>
      <c r="B75" s="69" t="s">
        <v>36</v>
      </c>
      <c r="C75" s="40">
        <v>382</v>
      </c>
      <c r="D75" s="40">
        <v>0</v>
      </c>
      <c r="E75" s="130">
        <v>50</v>
      </c>
      <c r="F75" s="21">
        <f t="shared" si="9"/>
        <v>432</v>
      </c>
    </row>
    <row r="76" spans="1:6" ht="15" customHeight="1" x14ac:dyDescent="0.25">
      <c r="A76" s="70" t="s">
        <v>62</v>
      </c>
      <c r="B76" s="69" t="s">
        <v>36</v>
      </c>
      <c r="C76" s="40">
        <v>343</v>
      </c>
      <c r="D76" s="40">
        <v>0</v>
      </c>
      <c r="E76" s="130">
        <v>50</v>
      </c>
      <c r="F76" s="21">
        <f t="shared" si="9"/>
        <v>393</v>
      </c>
    </row>
    <row r="77" spans="1:6" ht="15" customHeight="1" x14ac:dyDescent="0.25">
      <c r="A77" s="70" t="s">
        <v>63</v>
      </c>
      <c r="B77" s="69" t="s">
        <v>36</v>
      </c>
      <c r="C77" s="40">
        <v>4076</v>
      </c>
      <c r="D77" s="40">
        <v>0</v>
      </c>
      <c r="E77" s="130">
        <v>517</v>
      </c>
      <c r="F77" s="21">
        <f t="shared" si="9"/>
        <v>4593</v>
      </c>
    </row>
    <row r="78" spans="1:6" ht="15" customHeight="1" x14ac:dyDescent="0.25">
      <c r="A78" s="70" t="s">
        <v>305</v>
      </c>
      <c r="B78" s="69" t="s">
        <v>301</v>
      </c>
      <c r="C78" s="40">
        <v>0</v>
      </c>
      <c r="D78" s="40">
        <f>83.43</f>
        <v>83.43</v>
      </c>
      <c r="E78" s="130">
        <v>0</v>
      </c>
      <c r="F78" s="21">
        <f>SUM(C78:E78)</f>
        <v>83.43</v>
      </c>
    </row>
    <row r="79" spans="1:6" ht="15" customHeight="1" x14ac:dyDescent="0.25">
      <c r="A79" s="70" t="s">
        <v>306</v>
      </c>
      <c r="B79" s="69" t="s">
        <v>301</v>
      </c>
      <c r="C79" s="40">
        <v>0</v>
      </c>
      <c r="D79" s="40">
        <f>9.27</f>
        <v>9.27</v>
      </c>
      <c r="E79" s="130">
        <v>0</v>
      </c>
      <c r="F79" s="21">
        <f>SUM(C79:E79)</f>
        <v>9.27</v>
      </c>
    </row>
    <row r="80" spans="1:6" ht="15" customHeight="1" x14ac:dyDescent="0.25">
      <c r="A80" s="70" t="s">
        <v>64</v>
      </c>
      <c r="B80" s="69" t="s">
        <v>36</v>
      </c>
      <c r="C80" s="40">
        <v>385</v>
      </c>
      <c r="D80" s="40">
        <v>0</v>
      </c>
      <c r="E80" s="130">
        <v>50</v>
      </c>
      <c r="F80" s="21">
        <f t="shared" si="9"/>
        <v>435</v>
      </c>
    </row>
    <row r="81" spans="1:7" ht="15" customHeight="1" x14ac:dyDescent="0.25">
      <c r="A81" s="70" t="s">
        <v>65</v>
      </c>
      <c r="B81" s="69" t="s">
        <v>36</v>
      </c>
      <c r="C81" s="40">
        <v>3531</v>
      </c>
      <c r="D81" s="40">
        <v>0</v>
      </c>
      <c r="E81" s="130">
        <v>262</v>
      </c>
      <c r="F81" s="21">
        <f t="shared" si="9"/>
        <v>3793</v>
      </c>
    </row>
    <row r="82" spans="1:7" ht="15" customHeight="1" x14ac:dyDescent="0.25">
      <c r="A82" s="70" t="s">
        <v>311</v>
      </c>
      <c r="B82" s="69" t="s">
        <v>301</v>
      </c>
      <c r="C82" s="40">
        <v>0</v>
      </c>
      <c r="D82" s="40">
        <f>87.61</f>
        <v>87.61</v>
      </c>
      <c r="E82" s="130">
        <v>0</v>
      </c>
      <c r="F82" s="21">
        <f>SUM(C82:E82)</f>
        <v>87.61</v>
      </c>
    </row>
    <row r="83" spans="1:7" ht="15" customHeight="1" x14ac:dyDescent="0.25">
      <c r="A83" s="70" t="s">
        <v>312</v>
      </c>
      <c r="B83" s="69" t="s">
        <v>301</v>
      </c>
      <c r="C83" s="40">
        <v>0</v>
      </c>
      <c r="D83" s="40">
        <f>9.74</f>
        <v>9.74</v>
      </c>
      <c r="E83" s="130">
        <v>0</v>
      </c>
      <c r="F83" s="21">
        <f>SUM(C83:E83)</f>
        <v>9.74</v>
      </c>
    </row>
    <row r="84" spans="1:7" ht="28.5" customHeight="1" x14ac:dyDescent="0.25">
      <c r="A84" s="18" t="s">
        <v>290</v>
      </c>
      <c r="B84" s="69" t="s">
        <v>273</v>
      </c>
      <c r="C84" s="40">
        <v>0</v>
      </c>
      <c r="D84" s="40">
        <v>0</v>
      </c>
      <c r="E84" s="130">
        <v>16.66</v>
      </c>
      <c r="F84" s="21">
        <f t="shared" si="9"/>
        <v>16.66</v>
      </c>
    </row>
    <row r="85" spans="1:7" ht="15" customHeight="1" x14ac:dyDescent="0.25">
      <c r="A85" s="70" t="s">
        <v>66</v>
      </c>
      <c r="B85" s="69" t="s">
        <v>36</v>
      </c>
      <c r="C85" s="40">
        <v>4894</v>
      </c>
      <c r="D85" s="40">
        <v>0</v>
      </c>
      <c r="E85" s="130">
        <v>550</v>
      </c>
      <c r="F85" s="21">
        <f t="shared" si="9"/>
        <v>5444</v>
      </c>
      <c r="G85" s="30"/>
    </row>
    <row r="86" spans="1:7" ht="27.75" customHeight="1" x14ac:dyDescent="0.25">
      <c r="A86" s="18" t="s">
        <v>291</v>
      </c>
      <c r="B86" s="69" t="s">
        <v>273</v>
      </c>
      <c r="C86" s="40">
        <v>0</v>
      </c>
      <c r="D86" s="40">
        <v>0</v>
      </c>
      <c r="E86" s="130">
        <v>36.58</v>
      </c>
      <c r="F86" s="21">
        <f>SUM(C86:E86)</f>
        <v>36.58</v>
      </c>
      <c r="G86" s="30"/>
    </row>
    <row r="87" spans="1:7" ht="17.25" customHeight="1" x14ac:dyDescent="0.25">
      <c r="A87" s="18" t="s">
        <v>67</v>
      </c>
      <c r="B87" s="69" t="s">
        <v>36</v>
      </c>
      <c r="C87" s="40">
        <v>9231</v>
      </c>
      <c r="D87" s="40">
        <v>0</v>
      </c>
      <c r="E87" s="130">
        <v>1173</v>
      </c>
      <c r="F87" s="21">
        <f t="shared" si="9"/>
        <v>10404</v>
      </c>
    </row>
    <row r="88" spans="1:7" ht="15" customHeight="1" x14ac:dyDescent="0.25">
      <c r="A88" s="18" t="s">
        <v>68</v>
      </c>
      <c r="B88" s="69" t="s">
        <v>36</v>
      </c>
      <c r="C88" s="40">
        <v>7728</v>
      </c>
      <c r="D88" s="40">
        <v>0</v>
      </c>
      <c r="E88" s="130">
        <v>220</v>
      </c>
      <c r="F88" s="21">
        <f t="shared" si="9"/>
        <v>7948</v>
      </c>
    </row>
    <row r="89" spans="1:7" x14ac:dyDescent="0.25">
      <c r="A89" s="70" t="s">
        <v>69</v>
      </c>
      <c r="B89" s="69" t="s">
        <v>36</v>
      </c>
      <c r="C89" s="40">
        <v>2224</v>
      </c>
      <c r="D89" s="40">
        <v>0</v>
      </c>
      <c r="E89" s="130">
        <v>100</v>
      </c>
      <c r="F89" s="21">
        <f t="shared" si="9"/>
        <v>2324</v>
      </c>
    </row>
    <row r="90" spans="1:7" x14ac:dyDescent="0.25">
      <c r="A90" s="70" t="s">
        <v>70</v>
      </c>
      <c r="B90" s="69" t="s">
        <v>36</v>
      </c>
      <c r="C90" s="40">
        <v>5122</v>
      </c>
      <c r="D90" s="40">
        <v>0</v>
      </c>
      <c r="E90" s="130">
        <v>417</v>
      </c>
      <c r="F90" s="21">
        <f t="shared" si="9"/>
        <v>5539</v>
      </c>
    </row>
    <row r="91" spans="1:7" ht="15.75" customHeight="1" x14ac:dyDescent="0.25">
      <c r="A91" s="18" t="s">
        <v>71</v>
      </c>
      <c r="B91" s="69" t="s">
        <v>36</v>
      </c>
      <c r="C91" s="40">
        <v>14283</v>
      </c>
      <c r="D91" s="40">
        <v>0</v>
      </c>
      <c r="E91" s="130">
        <v>214</v>
      </c>
      <c r="F91" s="21">
        <f t="shared" si="9"/>
        <v>14497</v>
      </c>
    </row>
    <row r="92" spans="1:7" x14ac:dyDescent="0.25">
      <c r="A92" s="70" t="s">
        <v>72</v>
      </c>
      <c r="B92" s="69" t="s">
        <v>36</v>
      </c>
      <c r="C92" s="40">
        <v>9246</v>
      </c>
      <c r="D92" s="40">
        <v>0</v>
      </c>
      <c r="E92" s="130">
        <v>555</v>
      </c>
      <c r="F92" s="21">
        <f t="shared" si="9"/>
        <v>9801</v>
      </c>
    </row>
    <row r="93" spans="1:7" x14ac:dyDescent="0.25">
      <c r="A93" s="70" t="s">
        <v>73</v>
      </c>
      <c r="B93" s="69" t="s">
        <v>36</v>
      </c>
      <c r="C93" s="40">
        <v>10173</v>
      </c>
      <c r="D93" s="40">
        <v>0</v>
      </c>
      <c r="E93" s="130">
        <v>337</v>
      </c>
      <c r="F93" s="21">
        <f t="shared" si="9"/>
        <v>10510</v>
      </c>
    </row>
    <row r="94" spans="1:7" x14ac:dyDescent="0.25">
      <c r="A94" s="70" t="s">
        <v>74</v>
      </c>
      <c r="B94" s="69" t="s">
        <v>36</v>
      </c>
      <c r="C94" s="40">
        <v>7853</v>
      </c>
      <c r="D94" s="40">
        <v>0</v>
      </c>
      <c r="E94" s="130">
        <v>168</v>
      </c>
      <c r="F94" s="21">
        <f t="shared" si="9"/>
        <v>8021</v>
      </c>
    </row>
    <row r="95" spans="1:7" x14ac:dyDescent="0.25">
      <c r="A95" s="70" t="s">
        <v>75</v>
      </c>
      <c r="B95" s="69" t="s">
        <v>36</v>
      </c>
      <c r="C95" s="40">
        <v>3554</v>
      </c>
      <c r="D95" s="40">
        <v>0</v>
      </c>
      <c r="E95" s="130">
        <v>462</v>
      </c>
      <c r="F95" s="21">
        <f t="shared" si="9"/>
        <v>4016</v>
      </c>
    </row>
    <row r="96" spans="1:7" ht="15.75" customHeight="1" x14ac:dyDescent="0.25">
      <c r="A96" s="70" t="s">
        <v>76</v>
      </c>
      <c r="B96" s="69" t="s">
        <v>36</v>
      </c>
      <c r="C96" s="40">
        <v>1575</v>
      </c>
      <c r="D96" s="40">
        <v>0</v>
      </c>
      <c r="E96" s="130">
        <v>100</v>
      </c>
      <c r="F96" s="21">
        <f t="shared" si="9"/>
        <v>1675</v>
      </c>
    </row>
    <row r="97" spans="1:7" x14ac:dyDescent="0.25">
      <c r="A97" s="70" t="s">
        <v>77</v>
      </c>
      <c r="B97" s="69" t="s">
        <v>36</v>
      </c>
      <c r="C97" s="40">
        <v>11136</v>
      </c>
      <c r="D97" s="40">
        <v>0</v>
      </c>
      <c r="E97" s="130">
        <v>1062</v>
      </c>
      <c r="F97" s="21">
        <f t="shared" si="9"/>
        <v>12198</v>
      </c>
    </row>
    <row r="98" spans="1:7" x14ac:dyDescent="0.25">
      <c r="A98" s="70" t="s">
        <v>265</v>
      </c>
      <c r="B98" s="69" t="s">
        <v>266</v>
      </c>
      <c r="C98" s="40">
        <v>0</v>
      </c>
      <c r="D98" s="40">
        <f>166.86-143.36</f>
        <v>23.5</v>
      </c>
      <c r="E98" s="130">
        <v>0</v>
      </c>
      <c r="F98" s="21">
        <f t="shared" si="9"/>
        <v>23.5</v>
      </c>
    </row>
    <row r="99" spans="1:7" x14ac:dyDescent="0.25">
      <c r="A99" s="70" t="s">
        <v>267</v>
      </c>
      <c r="B99" s="69" t="s">
        <v>266</v>
      </c>
      <c r="C99" s="40">
        <v>0</v>
      </c>
      <c r="D99" s="40">
        <f>18.54-15.92</f>
        <v>2.6199999999999992</v>
      </c>
      <c r="E99" s="130">
        <v>0</v>
      </c>
      <c r="F99" s="21">
        <f t="shared" si="9"/>
        <v>2.6199999999999992</v>
      </c>
    </row>
    <row r="100" spans="1:7" x14ac:dyDescent="0.25">
      <c r="A100" s="70" t="s">
        <v>78</v>
      </c>
      <c r="B100" s="69" t="s">
        <v>36</v>
      </c>
      <c r="C100" s="40">
        <v>2265</v>
      </c>
      <c r="D100" s="40">
        <v>0</v>
      </c>
      <c r="E100" s="130">
        <v>337</v>
      </c>
      <c r="F100" s="21">
        <f t="shared" si="9"/>
        <v>2602</v>
      </c>
      <c r="G100" s="30"/>
    </row>
    <row r="101" spans="1:7" x14ac:dyDescent="0.25">
      <c r="A101" s="70" t="s">
        <v>79</v>
      </c>
      <c r="B101" s="69" t="s">
        <v>36</v>
      </c>
      <c r="C101" s="40">
        <v>2082</v>
      </c>
      <c r="D101" s="74">
        <v>0</v>
      </c>
      <c r="E101" s="130">
        <v>600</v>
      </c>
      <c r="F101" s="21">
        <f t="shared" si="9"/>
        <v>2682</v>
      </c>
    </row>
    <row r="102" spans="1:7" x14ac:dyDescent="0.25">
      <c r="A102" s="75" t="s">
        <v>80</v>
      </c>
      <c r="B102" s="76" t="s">
        <v>36</v>
      </c>
      <c r="C102" s="74">
        <v>2658</v>
      </c>
      <c r="D102" s="74">
        <v>0</v>
      </c>
      <c r="E102" s="130">
        <v>0</v>
      </c>
      <c r="F102" s="21">
        <f t="shared" si="9"/>
        <v>2658</v>
      </c>
    </row>
    <row r="103" spans="1:7" ht="15.75" customHeight="1" x14ac:dyDescent="0.25">
      <c r="A103" s="75" t="s">
        <v>81</v>
      </c>
      <c r="B103" s="76" t="s">
        <v>36</v>
      </c>
      <c r="C103" s="74">
        <v>21688</v>
      </c>
      <c r="D103" s="74">
        <v>0</v>
      </c>
      <c r="E103" s="130">
        <v>0</v>
      </c>
      <c r="F103" s="21">
        <f t="shared" si="9"/>
        <v>21688</v>
      </c>
    </row>
    <row r="104" spans="1:7" x14ac:dyDescent="0.25">
      <c r="A104" s="75" t="s">
        <v>82</v>
      </c>
      <c r="B104" s="76" t="s">
        <v>36</v>
      </c>
      <c r="C104" s="74">
        <v>26531</v>
      </c>
      <c r="D104" s="74">
        <v>0</v>
      </c>
      <c r="E104" s="130">
        <v>0</v>
      </c>
      <c r="F104" s="21">
        <f t="shared" si="9"/>
        <v>26531</v>
      </c>
      <c r="G104" s="30"/>
    </row>
    <row r="105" spans="1:7" ht="28.5" customHeight="1" x14ac:dyDescent="0.25">
      <c r="A105" s="85" t="s">
        <v>289</v>
      </c>
      <c r="B105" s="76" t="s">
        <v>36</v>
      </c>
      <c r="C105" s="40">
        <v>0</v>
      </c>
      <c r="D105" s="40">
        <v>0</v>
      </c>
      <c r="E105" s="20">
        <v>1400</v>
      </c>
      <c r="F105" s="21">
        <f t="shared" si="9"/>
        <v>1400</v>
      </c>
      <c r="G105" s="30"/>
    </row>
    <row r="106" spans="1:7" ht="38.25" customHeight="1" x14ac:dyDescent="0.25">
      <c r="A106" s="77" t="s">
        <v>83</v>
      </c>
      <c r="B106" s="78"/>
      <c r="C106" s="79">
        <v>9000</v>
      </c>
      <c r="D106" s="79">
        <f>-2223.7</f>
        <v>-2223.6999999999998</v>
      </c>
      <c r="E106" s="133">
        <v>82.59</v>
      </c>
      <c r="F106" s="34">
        <f t="shared" si="9"/>
        <v>6858.89</v>
      </c>
      <c r="G106" s="30"/>
    </row>
    <row r="107" spans="1:7" ht="16.5" customHeight="1" x14ac:dyDescent="0.25">
      <c r="A107" s="83" t="s">
        <v>84</v>
      </c>
      <c r="B107" s="76" t="s">
        <v>85</v>
      </c>
      <c r="C107" s="74">
        <v>0</v>
      </c>
      <c r="D107" s="74">
        <f>173.63</f>
        <v>173.63</v>
      </c>
      <c r="E107" s="130">
        <v>0</v>
      </c>
      <c r="F107" s="21">
        <f t="shared" si="9"/>
        <v>173.63</v>
      </c>
      <c r="G107" s="30"/>
    </row>
    <row r="108" spans="1:7" ht="16.5" customHeight="1" x14ac:dyDescent="0.25">
      <c r="A108" s="83" t="s">
        <v>86</v>
      </c>
      <c r="B108" s="76" t="s">
        <v>85</v>
      </c>
      <c r="C108" s="74">
        <v>0</v>
      </c>
      <c r="D108" s="74">
        <f>114.47</f>
        <v>114.47</v>
      </c>
      <c r="E108" s="130">
        <v>0</v>
      </c>
      <c r="F108" s="21">
        <f t="shared" si="9"/>
        <v>114.47</v>
      </c>
      <c r="G108" s="30"/>
    </row>
    <row r="109" spans="1:7" ht="16.5" customHeight="1" x14ac:dyDescent="0.25">
      <c r="A109" s="83" t="s">
        <v>87</v>
      </c>
      <c r="B109" s="76" t="s">
        <v>85</v>
      </c>
      <c r="C109" s="74">
        <v>0</v>
      </c>
      <c r="D109" s="74">
        <f>182.99</f>
        <v>182.99</v>
      </c>
      <c r="E109" s="130">
        <v>0</v>
      </c>
      <c r="F109" s="21">
        <f t="shared" si="9"/>
        <v>182.99</v>
      </c>
      <c r="G109" s="30"/>
    </row>
    <row r="110" spans="1:7" ht="16.5" customHeight="1" x14ac:dyDescent="0.25">
      <c r="A110" s="83" t="s">
        <v>88</v>
      </c>
      <c r="B110" s="76" t="s">
        <v>85</v>
      </c>
      <c r="C110" s="74">
        <v>0</v>
      </c>
      <c r="D110" s="74">
        <f>407.87</f>
        <v>407.87</v>
      </c>
      <c r="E110" s="130">
        <v>0</v>
      </c>
      <c r="F110" s="21">
        <f t="shared" si="9"/>
        <v>407.87</v>
      </c>
      <c r="G110" s="30"/>
    </row>
    <row r="111" spans="1:7" ht="16.5" customHeight="1" x14ac:dyDescent="0.25">
      <c r="A111" s="83" t="s">
        <v>89</v>
      </c>
      <c r="B111" s="76" t="s">
        <v>85</v>
      </c>
      <c r="C111" s="74">
        <v>0</v>
      </c>
      <c r="D111" s="74">
        <f>285.02</f>
        <v>285.02</v>
      </c>
      <c r="E111" s="130">
        <v>0</v>
      </c>
      <c r="F111" s="21">
        <f t="shared" si="9"/>
        <v>285.02</v>
      </c>
      <c r="G111" s="30"/>
    </row>
    <row r="112" spans="1:7" ht="16.5" customHeight="1" x14ac:dyDescent="0.25">
      <c r="A112" s="83" t="s">
        <v>90</v>
      </c>
      <c r="B112" s="76" t="s">
        <v>85</v>
      </c>
      <c r="C112" s="74">
        <v>0</v>
      </c>
      <c r="D112" s="74">
        <f>187.67</f>
        <v>187.67</v>
      </c>
      <c r="E112" s="130">
        <v>0</v>
      </c>
      <c r="F112" s="21">
        <f t="shared" si="9"/>
        <v>187.67</v>
      </c>
      <c r="G112" s="30"/>
    </row>
    <row r="113" spans="1:7" ht="16.5" customHeight="1" x14ac:dyDescent="0.25">
      <c r="A113" s="83" t="s">
        <v>91</v>
      </c>
      <c r="B113" s="76" t="s">
        <v>85</v>
      </c>
      <c r="C113" s="74">
        <v>0</v>
      </c>
      <c r="D113" s="74">
        <f>306.78</f>
        <v>306.77999999999997</v>
      </c>
      <c r="E113" s="130">
        <v>0</v>
      </c>
      <c r="F113" s="21">
        <f t="shared" si="9"/>
        <v>306.77999999999997</v>
      </c>
      <c r="G113" s="30"/>
    </row>
    <row r="114" spans="1:7" ht="16.5" customHeight="1" x14ac:dyDescent="0.25">
      <c r="A114" s="83" t="s">
        <v>92</v>
      </c>
      <c r="B114" s="76" t="s">
        <v>85</v>
      </c>
      <c r="C114" s="74">
        <v>0</v>
      </c>
      <c r="D114" s="74">
        <f>398.76</f>
        <v>398.76</v>
      </c>
      <c r="E114" s="130">
        <v>0</v>
      </c>
      <c r="F114" s="21">
        <f t="shared" si="9"/>
        <v>398.76</v>
      </c>
      <c r="G114" s="30"/>
    </row>
    <row r="115" spans="1:7" ht="17.25" customHeight="1" x14ac:dyDescent="0.25">
      <c r="A115" s="83" t="s">
        <v>93</v>
      </c>
      <c r="B115" s="76" t="s">
        <v>85</v>
      </c>
      <c r="C115" s="74">
        <v>0</v>
      </c>
      <c r="D115" s="74">
        <f>43.06</f>
        <v>43.06</v>
      </c>
      <c r="E115" s="130">
        <v>0</v>
      </c>
      <c r="F115" s="21">
        <f t="shared" si="9"/>
        <v>43.06</v>
      </c>
      <c r="G115" s="30"/>
    </row>
    <row r="116" spans="1:7" ht="16.5" customHeight="1" x14ac:dyDescent="0.25">
      <c r="A116" s="18" t="s">
        <v>94</v>
      </c>
      <c r="B116" s="69" t="s">
        <v>85</v>
      </c>
      <c r="C116" s="40">
        <v>0</v>
      </c>
      <c r="D116" s="40">
        <f>19.89</f>
        <v>19.89</v>
      </c>
      <c r="E116" s="20">
        <v>0</v>
      </c>
      <c r="F116" s="21">
        <f t="shared" si="9"/>
        <v>19.89</v>
      </c>
      <c r="G116" s="30"/>
    </row>
    <row r="117" spans="1:7" ht="16.5" customHeight="1" x14ac:dyDescent="0.25">
      <c r="A117" s="18" t="s">
        <v>95</v>
      </c>
      <c r="B117" s="69" t="s">
        <v>85</v>
      </c>
      <c r="C117" s="40">
        <v>0</v>
      </c>
      <c r="D117" s="40">
        <f>3.75</f>
        <v>3.75</v>
      </c>
      <c r="E117" s="20">
        <v>0</v>
      </c>
      <c r="F117" s="21">
        <f t="shared" si="9"/>
        <v>3.75</v>
      </c>
      <c r="G117" s="30"/>
    </row>
    <row r="118" spans="1:7" ht="16.5" customHeight="1" x14ac:dyDescent="0.25">
      <c r="A118" s="18" t="s">
        <v>96</v>
      </c>
      <c r="B118" s="69" t="s">
        <v>85</v>
      </c>
      <c r="C118" s="40">
        <v>0</v>
      </c>
      <c r="D118" s="40">
        <f>99.81</f>
        <v>99.81</v>
      </c>
      <c r="E118" s="20">
        <v>0</v>
      </c>
      <c r="F118" s="21">
        <f t="shared" si="9"/>
        <v>99.81</v>
      </c>
      <c r="G118" s="30"/>
    </row>
    <row r="119" spans="1:7" ht="15" customHeight="1" x14ac:dyDescent="0.25">
      <c r="A119" s="82" t="s">
        <v>97</v>
      </c>
      <c r="B119" s="80" t="s">
        <v>36</v>
      </c>
      <c r="C119" s="81">
        <v>400</v>
      </c>
      <c r="D119" s="81">
        <v>0</v>
      </c>
      <c r="E119" s="129">
        <v>0</v>
      </c>
      <c r="F119" s="21">
        <f t="shared" si="9"/>
        <v>400</v>
      </c>
    </row>
    <row r="120" spans="1:7" ht="15" customHeight="1" x14ac:dyDescent="0.25">
      <c r="A120" s="83" t="s">
        <v>98</v>
      </c>
      <c r="B120" s="69" t="s">
        <v>36</v>
      </c>
      <c r="C120" s="74">
        <v>85</v>
      </c>
      <c r="D120" s="74">
        <v>0</v>
      </c>
      <c r="E120" s="130">
        <v>0</v>
      </c>
      <c r="F120" s="21">
        <f t="shared" si="9"/>
        <v>85</v>
      </c>
    </row>
    <row r="121" spans="1:7" ht="15" customHeight="1" x14ac:dyDescent="0.25">
      <c r="A121" s="18" t="s">
        <v>99</v>
      </c>
      <c r="B121" s="69" t="s">
        <v>100</v>
      </c>
      <c r="C121" s="74">
        <v>1350</v>
      </c>
      <c r="D121" s="74">
        <v>0</v>
      </c>
      <c r="E121" s="130">
        <v>0</v>
      </c>
      <c r="F121" s="21">
        <f t="shared" si="9"/>
        <v>1350</v>
      </c>
    </row>
    <row r="122" spans="1:7" ht="15" customHeight="1" x14ac:dyDescent="0.25">
      <c r="A122" s="18" t="s">
        <v>101</v>
      </c>
      <c r="B122" s="69" t="s">
        <v>100</v>
      </c>
      <c r="C122" s="74">
        <v>1900</v>
      </c>
      <c r="D122" s="40">
        <v>0</v>
      </c>
      <c r="E122" s="130">
        <v>0</v>
      </c>
      <c r="F122" s="21">
        <f t="shared" si="9"/>
        <v>1900</v>
      </c>
    </row>
    <row r="123" spans="1:7" ht="18" customHeight="1" x14ac:dyDescent="0.25">
      <c r="A123" s="18" t="s">
        <v>102</v>
      </c>
      <c r="B123" s="69" t="s">
        <v>100</v>
      </c>
      <c r="C123" s="40">
        <v>1750</v>
      </c>
      <c r="D123" s="40">
        <v>0</v>
      </c>
      <c r="E123" s="130">
        <v>0</v>
      </c>
      <c r="F123" s="21">
        <f t="shared" si="9"/>
        <v>1750</v>
      </c>
    </row>
    <row r="124" spans="1:7" ht="28.5" customHeight="1" x14ac:dyDescent="0.25">
      <c r="A124" s="42" t="s">
        <v>103</v>
      </c>
      <c r="B124" s="69" t="s">
        <v>36</v>
      </c>
      <c r="C124" s="40">
        <v>700</v>
      </c>
      <c r="D124" s="40">
        <v>0</v>
      </c>
      <c r="E124" s="130">
        <v>0</v>
      </c>
      <c r="F124" s="21">
        <f t="shared" si="9"/>
        <v>700</v>
      </c>
      <c r="G124" s="84"/>
    </row>
    <row r="125" spans="1:7" ht="15" customHeight="1" x14ac:dyDescent="0.25">
      <c r="A125" s="18" t="s">
        <v>104</v>
      </c>
      <c r="B125" s="69"/>
      <c r="C125" s="40">
        <v>0</v>
      </c>
      <c r="D125" s="40">
        <v>0</v>
      </c>
      <c r="E125" s="130">
        <v>0</v>
      </c>
      <c r="F125" s="21">
        <f t="shared" si="9"/>
        <v>0</v>
      </c>
    </row>
    <row r="126" spans="1:7" ht="16.5" customHeight="1" x14ac:dyDescent="0.25">
      <c r="A126" s="18" t="s">
        <v>105</v>
      </c>
      <c r="B126" s="69" t="s">
        <v>36</v>
      </c>
      <c r="C126" s="40">
        <v>50</v>
      </c>
      <c r="D126" s="40">
        <v>0</v>
      </c>
      <c r="E126" s="130">
        <v>0</v>
      </c>
      <c r="F126" s="21">
        <f t="shared" si="9"/>
        <v>50</v>
      </c>
    </row>
    <row r="127" spans="1:7" ht="26.25" customHeight="1" x14ac:dyDescent="0.25">
      <c r="A127" s="18" t="s">
        <v>106</v>
      </c>
      <c r="B127" s="69" t="s">
        <v>36</v>
      </c>
      <c r="C127" s="40">
        <v>2000</v>
      </c>
      <c r="D127" s="40">
        <v>0</v>
      </c>
      <c r="E127" s="130">
        <v>0</v>
      </c>
      <c r="F127" s="21">
        <f t="shared" si="9"/>
        <v>2000</v>
      </c>
    </row>
    <row r="128" spans="1:7" ht="16.5" customHeight="1" x14ac:dyDescent="0.25">
      <c r="A128" s="18" t="s">
        <v>107</v>
      </c>
      <c r="B128" s="69" t="s">
        <v>36</v>
      </c>
      <c r="C128" s="40">
        <v>1700</v>
      </c>
      <c r="D128" s="40">
        <v>0</v>
      </c>
      <c r="E128" s="130">
        <v>0</v>
      </c>
      <c r="F128" s="21">
        <f t="shared" si="9"/>
        <v>1700</v>
      </c>
    </row>
    <row r="129" spans="1:7" ht="26.25" customHeight="1" x14ac:dyDescent="0.25">
      <c r="A129" s="18" t="s">
        <v>108</v>
      </c>
      <c r="B129" s="69" t="s">
        <v>36</v>
      </c>
      <c r="C129" s="40">
        <v>85</v>
      </c>
      <c r="D129" s="40">
        <v>0</v>
      </c>
      <c r="E129" s="130">
        <v>0</v>
      </c>
      <c r="F129" s="21">
        <f t="shared" si="9"/>
        <v>85</v>
      </c>
    </row>
    <row r="130" spans="1:7" ht="16.5" customHeight="1" x14ac:dyDescent="0.25">
      <c r="A130" s="18" t="s">
        <v>109</v>
      </c>
      <c r="B130" s="69" t="s">
        <v>36</v>
      </c>
      <c r="C130" s="40">
        <v>80</v>
      </c>
      <c r="D130" s="40">
        <v>0</v>
      </c>
      <c r="E130" s="130">
        <v>0</v>
      </c>
      <c r="F130" s="21">
        <f t="shared" si="9"/>
        <v>80</v>
      </c>
    </row>
    <row r="131" spans="1:7" ht="16.5" customHeight="1" x14ac:dyDescent="0.25">
      <c r="A131" s="18" t="s">
        <v>110</v>
      </c>
      <c r="B131" s="69" t="s">
        <v>36</v>
      </c>
      <c r="C131" s="40">
        <v>1570</v>
      </c>
      <c r="D131" s="40">
        <v>0</v>
      </c>
      <c r="E131" s="130">
        <v>0</v>
      </c>
      <c r="F131" s="21">
        <f t="shared" si="9"/>
        <v>1570</v>
      </c>
    </row>
    <row r="132" spans="1:7" ht="17.25" customHeight="1" x14ac:dyDescent="0.25">
      <c r="A132" s="18" t="s">
        <v>111</v>
      </c>
      <c r="B132" s="69" t="s">
        <v>36</v>
      </c>
      <c r="C132" s="40">
        <v>1570</v>
      </c>
      <c r="D132" s="40">
        <v>0</v>
      </c>
      <c r="E132" s="130">
        <v>0</v>
      </c>
      <c r="F132" s="21">
        <f t="shared" si="9"/>
        <v>1570</v>
      </c>
    </row>
    <row r="133" spans="1:7" ht="15" customHeight="1" x14ac:dyDescent="0.25">
      <c r="A133" s="18" t="s">
        <v>112</v>
      </c>
      <c r="B133" s="69" t="s">
        <v>36</v>
      </c>
      <c r="C133" s="40">
        <v>500</v>
      </c>
      <c r="D133" s="40">
        <v>0</v>
      </c>
      <c r="E133" s="130">
        <v>0</v>
      </c>
      <c r="F133" s="21">
        <f t="shared" si="9"/>
        <v>500</v>
      </c>
    </row>
    <row r="134" spans="1:7" ht="15" customHeight="1" x14ac:dyDescent="0.25">
      <c r="A134" s="70" t="s">
        <v>113</v>
      </c>
      <c r="B134" s="69" t="s">
        <v>114</v>
      </c>
      <c r="C134" s="40">
        <v>250</v>
      </c>
      <c r="D134" s="40">
        <v>0</v>
      </c>
      <c r="E134" s="130">
        <v>0</v>
      </c>
      <c r="F134" s="21">
        <f t="shared" si="9"/>
        <v>250</v>
      </c>
    </row>
    <row r="135" spans="1:7" ht="15.75" customHeight="1" x14ac:dyDescent="0.25">
      <c r="A135" s="70" t="s">
        <v>115</v>
      </c>
      <c r="B135" s="69" t="s">
        <v>116</v>
      </c>
      <c r="C135" s="40">
        <v>500</v>
      </c>
      <c r="D135" s="40">
        <v>0</v>
      </c>
      <c r="E135" s="130">
        <v>0</v>
      </c>
      <c r="F135" s="21">
        <f t="shared" si="9"/>
        <v>500</v>
      </c>
    </row>
    <row r="136" spans="1:7" ht="16.5" customHeight="1" x14ac:dyDescent="0.25">
      <c r="A136" s="70" t="s">
        <v>117</v>
      </c>
      <c r="B136" s="69" t="s">
        <v>118</v>
      </c>
      <c r="C136" s="40">
        <v>50</v>
      </c>
      <c r="D136" s="40">
        <v>0</v>
      </c>
      <c r="E136" s="130">
        <v>0</v>
      </c>
      <c r="F136" s="21">
        <f t="shared" si="9"/>
        <v>50</v>
      </c>
    </row>
    <row r="137" spans="1:7" x14ac:dyDescent="0.25">
      <c r="A137" s="70" t="s">
        <v>119</v>
      </c>
      <c r="B137" s="69" t="s">
        <v>116</v>
      </c>
      <c r="C137" s="40">
        <v>1200</v>
      </c>
      <c r="D137" s="40">
        <v>0</v>
      </c>
      <c r="E137" s="130">
        <v>0</v>
      </c>
      <c r="F137" s="21">
        <f t="shared" ref="F137:F141" si="10">SUM(C137:E137)</f>
        <v>1200</v>
      </c>
    </row>
    <row r="138" spans="1:7" ht="14.25" customHeight="1" x14ac:dyDescent="0.25">
      <c r="A138" s="18" t="s">
        <v>120</v>
      </c>
      <c r="B138" s="69" t="s">
        <v>121</v>
      </c>
      <c r="C138" s="40">
        <v>650</v>
      </c>
      <c r="D138" s="40">
        <v>0</v>
      </c>
      <c r="E138" s="130">
        <v>0</v>
      </c>
      <c r="F138" s="21">
        <f t="shared" si="10"/>
        <v>650</v>
      </c>
    </row>
    <row r="139" spans="1:7" ht="24.75" customHeight="1" x14ac:dyDescent="0.25">
      <c r="A139" s="85" t="s">
        <v>122</v>
      </c>
      <c r="B139" s="69" t="s">
        <v>36</v>
      </c>
      <c r="C139" s="40">
        <v>1570</v>
      </c>
      <c r="D139" s="40">
        <v>0</v>
      </c>
      <c r="E139" s="130">
        <v>0</v>
      </c>
      <c r="F139" s="21">
        <f t="shared" si="10"/>
        <v>1570</v>
      </c>
    </row>
    <row r="140" spans="1:7" ht="17.25" customHeight="1" x14ac:dyDescent="0.25">
      <c r="A140" s="85" t="s">
        <v>123</v>
      </c>
      <c r="B140" s="69" t="s">
        <v>36</v>
      </c>
      <c r="C140" s="40">
        <v>1570</v>
      </c>
      <c r="D140" s="40">
        <v>0</v>
      </c>
      <c r="E140" s="130">
        <v>0</v>
      </c>
      <c r="F140" s="21">
        <f t="shared" si="10"/>
        <v>1570</v>
      </c>
    </row>
    <row r="141" spans="1:7" ht="15.75" customHeight="1" thickBot="1" x14ac:dyDescent="0.3">
      <c r="A141" s="71" t="s">
        <v>124</v>
      </c>
      <c r="B141" s="60"/>
      <c r="C141" s="24">
        <v>56026.34</v>
      </c>
      <c r="D141" s="24">
        <f>-130+344.28</f>
        <v>214.27999999999997</v>
      </c>
      <c r="E141" s="131">
        <v>-7658.5</v>
      </c>
      <c r="F141" s="21">
        <f t="shared" si="10"/>
        <v>48582.119999999995</v>
      </c>
      <c r="G141" s="30"/>
    </row>
    <row r="142" spans="1:7" ht="16.5" customHeight="1" thickBot="1" x14ac:dyDescent="0.3">
      <c r="A142" s="72" t="s">
        <v>125</v>
      </c>
      <c r="B142" s="66"/>
      <c r="C142" s="56">
        <f>SUM(C144:C155)</f>
        <v>325128</v>
      </c>
      <c r="D142" s="56">
        <f>SUM(D144:D155)</f>
        <v>47.550000000000004</v>
      </c>
      <c r="E142" s="138">
        <f>SUM(E144:E155)</f>
        <v>17777.62</v>
      </c>
      <c r="F142" s="57">
        <f>SUM(C142:E142)</f>
        <v>342953.17</v>
      </c>
      <c r="G142" s="30"/>
    </row>
    <row r="143" spans="1:7" ht="12.75" customHeight="1" x14ac:dyDescent="0.25">
      <c r="A143" s="73" t="s">
        <v>27</v>
      </c>
      <c r="B143" s="63"/>
      <c r="C143" s="16"/>
      <c r="D143" s="16"/>
      <c r="E143" s="129"/>
      <c r="F143" s="17"/>
    </row>
    <row r="144" spans="1:7" ht="15" customHeight="1" x14ac:dyDescent="0.25">
      <c r="A144" s="70" t="s">
        <v>30</v>
      </c>
      <c r="B144" s="65"/>
      <c r="C144" s="20">
        <v>71786</v>
      </c>
      <c r="D144" s="20">
        <f>45.24+2.31</f>
        <v>47.550000000000004</v>
      </c>
      <c r="E144" s="130">
        <v>10512</v>
      </c>
      <c r="F144" s="21">
        <f>SUM(C144:E144)</f>
        <v>82345.55</v>
      </c>
    </row>
    <row r="145" spans="1:7" ht="15" customHeight="1" x14ac:dyDescent="0.25">
      <c r="A145" s="70" t="s">
        <v>126</v>
      </c>
      <c r="B145" s="69" t="s">
        <v>36</v>
      </c>
      <c r="C145" s="86">
        <v>132500</v>
      </c>
      <c r="D145" s="86">
        <v>0</v>
      </c>
      <c r="E145" s="130">
        <v>-132500</v>
      </c>
      <c r="F145" s="21">
        <f t="shared" ref="F145:F155" si="11">SUM(C145:E145)</f>
        <v>0</v>
      </c>
    </row>
    <row r="146" spans="1:7" ht="15" customHeight="1" x14ac:dyDescent="0.25">
      <c r="A146" s="70" t="s">
        <v>127</v>
      </c>
      <c r="B146" s="69" t="s">
        <v>36</v>
      </c>
      <c r="C146" s="20">
        <v>25000</v>
      </c>
      <c r="D146" s="20">
        <v>0</v>
      </c>
      <c r="E146" s="130">
        <v>-25000</v>
      </c>
      <c r="F146" s="21">
        <f t="shared" si="11"/>
        <v>0</v>
      </c>
    </row>
    <row r="147" spans="1:7" ht="15" customHeight="1" x14ac:dyDescent="0.25">
      <c r="A147" s="70" t="s">
        <v>274</v>
      </c>
      <c r="B147" s="69" t="s">
        <v>36</v>
      </c>
      <c r="C147" s="20">
        <v>0</v>
      </c>
      <c r="D147" s="20">
        <v>0</v>
      </c>
      <c r="E147" s="130">
        <v>137700</v>
      </c>
      <c r="F147" s="21">
        <f t="shared" si="11"/>
        <v>137700</v>
      </c>
    </row>
    <row r="148" spans="1:7" ht="15" customHeight="1" x14ac:dyDescent="0.25">
      <c r="A148" s="70" t="s">
        <v>275</v>
      </c>
      <c r="B148" s="69" t="s">
        <v>36</v>
      </c>
      <c r="C148" s="20">
        <v>0</v>
      </c>
      <c r="D148" s="20">
        <v>0</v>
      </c>
      <c r="E148" s="130">
        <v>26165.62</v>
      </c>
      <c r="F148" s="21">
        <f t="shared" si="11"/>
        <v>26165.62</v>
      </c>
    </row>
    <row r="149" spans="1:7" ht="15" customHeight="1" x14ac:dyDescent="0.25">
      <c r="A149" s="70" t="s">
        <v>128</v>
      </c>
      <c r="B149" s="69" t="s">
        <v>36</v>
      </c>
      <c r="C149" s="20">
        <v>228</v>
      </c>
      <c r="D149" s="20">
        <v>0</v>
      </c>
      <c r="E149" s="130">
        <v>0</v>
      </c>
      <c r="F149" s="21">
        <f t="shared" si="11"/>
        <v>228</v>
      </c>
    </row>
    <row r="150" spans="1:7" ht="15" customHeight="1" x14ac:dyDescent="0.25">
      <c r="A150" s="70" t="s">
        <v>129</v>
      </c>
      <c r="B150" s="69" t="s">
        <v>36</v>
      </c>
      <c r="C150" s="20">
        <v>189</v>
      </c>
      <c r="D150" s="20">
        <v>0</v>
      </c>
      <c r="E150" s="130">
        <v>0</v>
      </c>
      <c r="F150" s="21">
        <f t="shared" si="11"/>
        <v>189</v>
      </c>
    </row>
    <row r="151" spans="1:7" ht="15" customHeight="1" x14ac:dyDescent="0.25">
      <c r="A151" s="70" t="s">
        <v>130</v>
      </c>
      <c r="B151" s="69" t="s">
        <v>36</v>
      </c>
      <c r="C151" s="20">
        <v>1047</v>
      </c>
      <c r="D151" s="20">
        <v>0</v>
      </c>
      <c r="E151" s="130">
        <v>0</v>
      </c>
      <c r="F151" s="21">
        <f t="shared" si="11"/>
        <v>1047</v>
      </c>
    </row>
    <row r="152" spans="1:7" ht="15" customHeight="1" x14ac:dyDescent="0.25">
      <c r="A152" s="70" t="s">
        <v>131</v>
      </c>
      <c r="B152" s="69" t="s">
        <v>36</v>
      </c>
      <c r="C152" s="20">
        <v>277</v>
      </c>
      <c r="D152" s="20">
        <v>0</v>
      </c>
      <c r="E152" s="130">
        <v>0</v>
      </c>
      <c r="F152" s="21">
        <f t="shared" si="11"/>
        <v>277</v>
      </c>
    </row>
    <row r="153" spans="1:7" ht="28.5" customHeight="1" x14ac:dyDescent="0.25">
      <c r="A153" s="18" t="s">
        <v>132</v>
      </c>
      <c r="B153" s="69" t="s">
        <v>36</v>
      </c>
      <c r="C153" s="20">
        <v>150</v>
      </c>
      <c r="D153" s="20">
        <v>0</v>
      </c>
      <c r="E153" s="130">
        <v>0</v>
      </c>
      <c r="F153" s="21">
        <f t="shared" si="11"/>
        <v>150</v>
      </c>
    </row>
    <row r="154" spans="1:7" ht="28.5" customHeight="1" x14ac:dyDescent="0.25">
      <c r="A154" s="18" t="s">
        <v>133</v>
      </c>
      <c r="B154" s="69"/>
      <c r="C154" s="20">
        <v>2450</v>
      </c>
      <c r="D154" s="20">
        <v>0</v>
      </c>
      <c r="E154" s="130">
        <v>0</v>
      </c>
      <c r="F154" s="21">
        <f t="shared" si="11"/>
        <v>2450</v>
      </c>
    </row>
    <row r="155" spans="1:7" ht="15.75" customHeight="1" thickBot="1" x14ac:dyDescent="0.3">
      <c r="A155" s="22" t="s">
        <v>134</v>
      </c>
      <c r="B155" s="60"/>
      <c r="C155" s="24">
        <v>91501</v>
      </c>
      <c r="D155" s="24">
        <v>0</v>
      </c>
      <c r="E155" s="131">
        <v>900</v>
      </c>
      <c r="F155" s="21">
        <f t="shared" si="11"/>
        <v>92401</v>
      </c>
    </row>
    <row r="156" spans="1:7" ht="15" customHeight="1" thickBot="1" x14ac:dyDescent="0.3">
      <c r="A156" s="72" t="s">
        <v>135</v>
      </c>
      <c r="B156" s="66"/>
      <c r="C156" s="56">
        <f>SUM(C158:C164)</f>
        <v>152530.56</v>
      </c>
      <c r="D156" s="56">
        <f>SUM(D158:D164)</f>
        <v>81.66</v>
      </c>
      <c r="E156" s="138">
        <f>SUM(E158:E164)</f>
        <v>719</v>
      </c>
      <c r="F156" s="57">
        <f>SUM(C156:E156)</f>
        <v>153331.22</v>
      </c>
      <c r="G156" s="30"/>
    </row>
    <row r="157" spans="1:7" ht="12" customHeight="1" x14ac:dyDescent="0.25">
      <c r="A157" s="73" t="s">
        <v>27</v>
      </c>
      <c r="B157" s="63"/>
      <c r="C157" s="16"/>
      <c r="D157" s="16"/>
      <c r="E157" s="129"/>
      <c r="F157" s="17"/>
    </row>
    <row r="158" spans="1:7" ht="15" customHeight="1" x14ac:dyDescent="0.25">
      <c r="A158" s="70" t="s">
        <v>30</v>
      </c>
      <c r="B158" s="65"/>
      <c r="C158" s="20">
        <v>4590</v>
      </c>
      <c r="D158" s="20">
        <f>90.66</f>
        <v>90.66</v>
      </c>
      <c r="E158" s="130">
        <v>0</v>
      </c>
      <c r="F158" s="21">
        <f>SUM(C158:E158)</f>
        <v>4680.66</v>
      </c>
    </row>
    <row r="159" spans="1:7" ht="27.75" customHeight="1" x14ac:dyDescent="0.25">
      <c r="A159" s="18" t="s">
        <v>136</v>
      </c>
      <c r="B159" s="69" t="s">
        <v>137</v>
      </c>
      <c r="C159" s="20">
        <v>350</v>
      </c>
      <c r="D159" s="20">
        <v>0</v>
      </c>
      <c r="E159" s="130">
        <v>0</v>
      </c>
      <c r="F159" s="21">
        <f t="shared" ref="F159:F164" si="12">SUM(C159:E159)</f>
        <v>350</v>
      </c>
    </row>
    <row r="160" spans="1:7" ht="15" customHeight="1" x14ac:dyDescent="0.25">
      <c r="A160" s="18" t="s">
        <v>138</v>
      </c>
      <c r="B160" s="69" t="s">
        <v>139</v>
      </c>
      <c r="C160" s="20">
        <v>250</v>
      </c>
      <c r="D160" s="20">
        <v>0</v>
      </c>
      <c r="E160" s="130">
        <v>0</v>
      </c>
      <c r="F160" s="21">
        <f t="shared" si="12"/>
        <v>250</v>
      </c>
    </row>
    <row r="161" spans="1:7" ht="15" customHeight="1" x14ac:dyDescent="0.25">
      <c r="A161" s="70" t="s">
        <v>140</v>
      </c>
      <c r="B161" s="87"/>
      <c r="C161" s="20">
        <v>10</v>
      </c>
      <c r="D161" s="20">
        <v>0</v>
      </c>
      <c r="E161" s="130">
        <v>0</v>
      </c>
      <c r="F161" s="21">
        <f t="shared" si="12"/>
        <v>10</v>
      </c>
    </row>
    <row r="162" spans="1:7" ht="15" customHeight="1" x14ac:dyDescent="0.25">
      <c r="A162" s="70" t="s">
        <v>141</v>
      </c>
      <c r="B162" s="88" t="s">
        <v>45</v>
      </c>
      <c r="C162" s="20">
        <v>180</v>
      </c>
      <c r="D162" s="20">
        <v>0</v>
      </c>
      <c r="E162" s="130">
        <v>0</v>
      </c>
      <c r="F162" s="21">
        <f t="shared" si="12"/>
        <v>180</v>
      </c>
    </row>
    <row r="163" spans="1:7" ht="15" customHeight="1" x14ac:dyDescent="0.25">
      <c r="A163" s="70" t="s">
        <v>142</v>
      </c>
      <c r="B163" s="88" t="s">
        <v>45</v>
      </c>
      <c r="C163" s="20">
        <v>810</v>
      </c>
      <c r="D163" s="20">
        <v>0</v>
      </c>
      <c r="E163" s="130">
        <v>0</v>
      </c>
      <c r="F163" s="21">
        <f t="shared" si="12"/>
        <v>810</v>
      </c>
    </row>
    <row r="164" spans="1:7" ht="17.25" customHeight="1" thickBot="1" x14ac:dyDescent="0.3">
      <c r="A164" s="22" t="s">
        <v>143</v>
      </c>
      <c r="B164" s="89"/>
      <c r="C164" s="24">
        <v>146340.56</v>
      </c>
      <c r="D164" s="24">
        <f>-9</f>
        <v>-9</v>
      </c>
      <c r="E164" s="131">
        <v>719</v>
      </c>
      <c r="F164" s="21">
        <f t="shared" si="12"/>
        <v>147050.56</v>
      </c>
    </row>
    <row r="165" spans="1:7" ht="16.5" customHeight="1" thickBot="1" x14ac:dyDescent="0.3">
      <c r="A165" s="72" t="s">
        <v>144</v>
      </c>
      <c r="B165" s="66"/>
      <c r="C165" s="56">
        <f>SUM(C167:C200)</f>
        <v>112053</v>
      </c>
      <c r="D165" s="56">
        <f>SUM(D167:D200)</f>
        <v>0</v>
      </c>
      <c r="E165" s="138">
        <f>SUM(E167:E200)</f>
        <v>6135</v>
      </c>
      <c r="F165" s="57">
        <f>SUM(C165:E165)</f>
        <v>118188</v>
      </c>
      <c r="G165" s="30"/>
    </row>
    <row r="166" spans="1:7" ht="15.75" customHeight="1" x14ac:dyDescent="0.25">
      <c r="A166" s="73" t="s">
        <v>27</v>
      </c>
      <c r="B166" s="63"/>
      <c r="C166" s="16"/>
      <c r="D166" s="16"/>
      <c r="E166" s="129"/>
      <c r="F166" s="17"/>
    </row>
    <row r="167" spans="1:7" ht="15" customHeight="1" x14ac:dyDescent="0.25">
      <c r="A167" s="18" t="s">
        <v>145</v>
      </c>
      <c r="B167" s="65" t="s">
        <v>146</v>
      </c>
      <c r="C167" s="41">
        <v>850</v>
      </c>
      <c r="D167" s="41">
        <v>0</v>
      </c>
      <c r="E167" s="130">
        <v>0</v>
      </c>
      <c r="F167" s="21">
        <f>SUM(C167:E167)</f>
        <v>850</v>
      </c>
    </row>
    <row r="168" spans="1:7" ht="16.5" customHeight="1" x14ac:dyDescent="0.25">
      <c r="A168" s="18" t="s">
        <v>147</v>
      </c>
      <c r="B168" s="69" t="s">
        <v>148</v>
      </c>
      <c r="C168" s="20">
        <v>17000</v>
      </c>
      <c r="D168" s="20">
        <v>0</v>
      </c>
      <c r="E168" s="130">
        <v>0</v>
      </c>
      <c r="F168" s="21">
        <f t="shared" ref="F168:F200" si="13">SUM(C168:E168)</f>
        <v>17000</v>
      </c>
    </row>
    <row r="169" spans="1:7" ht="23.25" customHeight="1" x14ac:dyDescent="0.25">
      <c r="A169" s="18" t="s">
        <v>149</v>
      </c>
      <c r="B169" s="69" t="s">
        <v>150</v>
      </c>
      <c r="C169" s="20">
        <v>1000</v>
      </c>
      <c r="D169" s="20">
        <v>0</v>
      </c>
      <c r="E169" s="130">
        <v>0</v>
      </c>
      <c r="F169" s="21">
        <f t="shared" si="13"/>
        <v>1000</v>
      </c>
    </row>
    <row r="170" spans="1:7" ht="27" customHeight="1" x14ac:dyDescent="0.25">
      <c r="A170" s="18" t="s">
        <v>151</v>
      </c>
      <c r="B170" s="69" t="s">
        <v>152</v>
      </c>
      <c r="C170" s="20">
        <v>1600</v>
      </c>
      <c r="D170" s="20">
        <v>0</v>
      </c>
      <c r="E170" s="130">
        <v>0</v>
      </c>
      <c r="F170" s="21">
        <f t="shared" si="13"/>
        <v>1600</v>
      </c>
    </row>
    <row r="171" spans="1:7" ht="40.5" customHeight="1" x14ac:dyDescent="0.25">
      <c r="A171" s="18" t="s">
        <v>153</v>
      </c>
      <c r="B171" s="69" t="s">
        <v>36</v>
      </c>
      <c r="C171" s="40">
        <v>11900</v>
      </c>
      <c r="D171" s="40">
        <v>0</v>
      </c>
      <c r="E171" s="130">
        <v>0</v>
      </c>
      <c r="F171" s="21">
        <f t="shared" si="13"/>
        <v>11900</v>
      </c>
    </row>
    <row r="172" spans="1:7" ht="15" customHeight="1" x14ac:dyDescent="0.25">
      <c r="A172" s="70" t="s">
        <v>154</v>
      </c>
      <c r="B172" s="69" t="s">
        <v>36</v>
      </c>
      <c r="C172" s="40">
        <v>6620</v>
      </c>
      <c r="D172" s="40">
        <v>0</v>
      </c>
      <c r="E172" s="130">
        <v>0</v>
      </c>
      <c r="F172" s="21">
        <f t="shared" si="13"/>
        <v>6620</v>
      </c>
    </row>
    <row r="173" spans="1:7" ht="42" customHeight="1" x14ac:dyDescent="0.25">
      <c r="A173" s="18" t="s">
        <v>155</v>
      </c>
      <c r="B173" s="69" t="s">
        <v>36</v>
      </c>
      <c r="C173" s="40">
        <v>18705</v>
      </c>
      <c r="D173" s="40">
        <v>0</v>
      </c>
      <c r="E173" s="130">
        <v>0</v>
      </c>
      <c r="F173" s="21">
        <f t="shared" si="13"/>
        <v>18705</v>
      </c>
    </row>
    <row r="174" spans="1:7" ht="52.5" customHeight="1" x14ac:dyDescent="0.25">
      <c r="A174" s="18" t="s">
        <v>156</v>
      </c>
      <c r="B174" s="69" t="s">
        <v>36</v>
      </c>
      <c r="C174" s="40">
        <v>14028</v>
      </c>
      <c r="D174" s="40">
        <v>0</v>
      </c>
      <c r="E174" s="130">
        <v>0</v>
      </c>
      <c r="F174" s="21">
        <f t="shared" si="13"/>
        <v>14028</v>
      </c>
    </row>
    <row r="175" spans="1:7" ht="40.5" customHeight="1" x14ac:dyDescent="0.25">
      <c r="A175" s="18" t="s">
        <v>157</v>
      </c>
      <c r="B175" s="69" t="s">
        <v>36</v>
      </c>
      <c r="C175" s="40">
        <v>12000</v>
      </c>
      <c r="D175" s="40">
        <v>0</v>
      </c>
      <c r="E175" s="130">
        <v>0</v>
      </c>
      <c r="F175" s="21">
        <f t="shared" si="13"/>
        <v>12000</v>
      </c>
    </row>
    <row r="176" spans="1:7" ht="54" customHeight="1" x14ac:dyDescent="0.25">
      <c r="A176" s="18" t="s">
        <v>158</v>
      </c>
      <c r="B176" s="69" t="s">
        <v>36</v>
      </c>
      <c r="C176" s="40">
        <v>11200</v>
      </c>
      <c r="D176" s="40">
        <v>0</v>
      </c>
      <c r="E176" s="130">
        <v>0</v>
      </c>
      <c r="F176" s="21">
        <f t="shared" si="13"/>
        <v>11200</v>
      </c>
    </row>
    <row r="177" spans="1:6" ht="16.5" customHeight="1" x14ac:dyDescent="0.25">
      <c r="A177" s="18" t="s">
        <v>313</v>
      </c>
      <c r="B177" s="69" t="s">
        <v>264</v>
      </c>
      <c r="C177" s="40">
        <v>0</v>
      </c>
      <c r="D177" s="40">
        <f>20</f>
        <v>20</v>
      </c>
      <c r="E177" s="130">
        <v>0</v>
      </c>
      <c r="F177" s="21">
        <f>SUM(C177:E177)</f>
        <v>20</v>
      </c>
    </row>
    <row r="178" spans="1:6" ht="15" customHeight="1" x14ac:dyDescent="0.25">
      <c r="A178" s="18" t="s">
        <v>159</v>
      </c>
      <c r="B178" s="69"/>
      <c r="C178" s="40">
        <v>4.5</v>
      </c>
      <c r="D178" s="40">
        <v>0</v>
      </c>
      <c r="E178" s="130">
        <v>0</v>
      </c>
      <c r="F178" s="21">
        <f t="shared" si="13"/>
        <v>4.5</v>
      </c>
    </row>
    <row r="179" spans="1:6" ht="15" customHeight="1" x14ac:dyDescent="0.25">
      <c r="A179" s="18" t="s">
        <v>160</v>
      </c>
      <c r="B179" s="69" t="s">
        <v>121</v>
      </c>
      <c r="C179" s="40">
        <v>20</v>
      </c>
      <c r="D179" s="40">
        <v>0</v>
      </c>
      <c r="E179" s="130">
        <v>0</v>
      </c>
      <c r="F179" s="21">
        <f t="shared" si="13"/>
        <v>20</v>
      </c>
    </row>
    <row r="180" spans="1:6" ht="15" customHeight="1" x14ac:dyDescent="0.25">
      <c r="A180" s="18" t="s">
        <v>161</v>
      </c>
      <c r="B180" s="69" t="s">
        <v>121</v>
      </c>
      <c r="C180" s="40">
        <v>10</v>
      </c>
      <c r="D180" s="40">
        <v>0</v>
      </c>
      <c r="E180" s="130">
        <v>0</v>
      </c>
      <c r="F180" s="21">
        <f t="shared" si="13"/>
        <v>10</v>
      </c>
    </row>
    <row r="181" spans="1:6" ht="15" customHeight="1" x14ac:dyDescent="0.25">
      <c r="A181" s="70" t="s">
        <v>162</v>
      </c>
      <c r="B181" s="69" t="s">
        <v>121</v>
      </c>
      <c r="C181" s="40">
        <v>70</v>
      </c>
      <c r="D181" s="40">
        <v>0</v>
      </c>
      <c r="E181" s="130">
        <v>0</v>
      </c>
      <c r="F181" s="21">
        <f t="shared" si="13"/>
        <v>70</v>
      </c>
    </row>
    <row r="182" spans="1:6" ht="15" customHeight="1" x14ac:dyDescent="0.25">
      <c r="A182" s="70" t="s">
        <v>163</v>
      </c>
      <c r="B182" s="69" t="s">
        <v>36</v>
      </c>
      <c r="C182" s="40">
        <v>1050</v>
      </c>
      <c r="D182" s="40">
        <v>0</v>
      </c>
      <c r="E182" s="130">
        <v>0</v>
      </c>
      <c r="F182" s="21">
        <f t="shared" si="13"/>
        <v>1050</v>
      </c>
    </row>
    <row r="183" spans="1:6" ht="15" customHeight="1" x14ac:dyDescent="0.25">
      <c r="A183" s="70" t="s">
        <v>164</v>
      </c>
      <c r="B183" s="69" t="s">
        <v>36</v>
      </c>
      <c r="C183" s="40">
        <v>4000</v>
      </c>
      <c r="D183" s="40">
        <v>0</v>
      </c>
      <c r="E183" s="130">
        <v>0</v>
      </c>
      <c r="F183" s="21">
        <f t="shared" si="13"/>
        <v>4000</v>
      </c>
    </row>
    <row r="184" spans="1:6" ht="15" customHeight="1" x14ac:dyDescent="0.25">
      <c r="A184" s="70" t="s">
        <v>165</v>
      </c>
      <c r="B184" s="69" t="s">
        <v>121</v>
      </c>
      <c r="C184" s="40">
        <v>80</v>
      </c>
      <c r="D184" s="40">
        <v>0</v>
      </c>
      <c r="E184" s="130">
        <v>0</v>
      </c>
      <c r="F184" s="21">
        <f t="shared" si="13"/>
        <v>80</v>
      </c>
    </row>
    <row r="185" spans="1:6" ht="15" customHeight="1" x14ac:dyDescent="0.25">
      <c r="A185" s="70" t="s">
        <v>166</v>
      </c>
      <c r="B185" s="69" t="s">
        <v>36</v>
      </c>
      <c r="C185" s="40">
        <v>50</v>
      </c>
      <c r="D185" s="40">
        <v>0</v>
      </c>
      <c r="E185" s="130">
        <v>0</v>
      </c>
      <c r="F185" s="21">
        <f t="shared" si="13"/>
        <v>50</v>
      </c>
    </row>
    <row r="186" spans="1:6" ht="15" customHeight="1" x14ac:dyDescent="0.25">
      <c r="A186" s="70" t="s">
        <v>167</v>
      </c>
      <c r="B186" s="69" t="s">
        <v>36</v>
      </c>
      <c r="C186" s="40">
        <v>100</v>
      </c>
      <c r="D186" s="40">
        <v>0</v>
      </c>
      <c r="E186" s="130">
        <v>0</v>
      </c>
      <c r="F186" s="21">
        <f t="shared" si="13"/>
        <v>100</v>
      </c>
    </row>
    <row r="187" spans="1:6" ht="15" customHeight="1" x14ac:dyDescent="0.25">
      <c r="A187" s="70" t="s">
        <v>168</v>
      </c>
      <c r="B187" s="69" t="s">
        <v>36</v>
      </c>
      <c r="C187" s="40">
        <v>650</v>
      </c>
      <c r="D187" s="40">
        <v>0</v>
      </c>
      <c r="E187" s="130">
        <v>0</v>
      </c>
      <c r="F187" s="21">
        <f t="shared" si="13"/>
        <v>650</v>
      </c>
    </row>
    <row r="188" spans="1:6" ht="15" customHeight="1" x14ac:dyDescent="0.25">
      <c r="A188" s="85" t="s">
        <v>169</v>
      </c>
      <c r="B188" s="69" t="s">
        <v>121</v>
      </c>
      <c r="C188" s="40">
        <v>40</v>
      </c>
      <c r="D188" s="40">
        <v>0</v>
      </c>
      <c r="E188" s="130">
        <v>0</v>
      </c>
      <c r="F188" s="21">
        <f t="shared" si="13"/>
        <v>40</v>
      </c>
    </row>
    <row r="189" spans="1:6" ht="15" customHeight="1" x14ac:dyDescent="0.25">
      <c r="A189" s="18" t="s">
        <v>170</v>
      </c>
      <c r="B189" s="69" t="s">
        <v>121</v>
      </c>
      <c r="C189" s="40">
        <v>20</v>
      </c>
      <c r="D189" s="40">
        <v>0</v>
      </c>
      <c r="E189" s="130">
        <v>0</v>
      </c>
      <c r="F189" s="21">
        <f t="shared" si="13"/>
        <v>20</v>
      </c>
    </row>
    <row r="190" spans="1:6" ht="41.25" customHeight="1" x14ac:dyDescent="0.25">
      <c r="A190" s="85" t="s">
        <v>171</v>
      </c>
      <c r="B190" s="69" t="s">
        <v>114</v>
      </c>
      <c r="C190" s="40">
        <v>22</v>
      </c>
      <c r="D190" s="40">
        <v>0</v>
      </c>
      <c r="E190" s="130">
        <v>0</v>
      </c>
      <c r="F190" s="21">
        <f t="shared" si="13"/>
        <v>22</v>
      </c>
    </row>
    <row r="191" spans="1:6" ht="15" customHeight="1" x14ac:dyDescent="0.25">
      <c r="A191" s="85" t="s">
        <v>172</v>
      </c>
      <c r="B191" s="69" t="s">
        <v>121</v>
      </c>
      <c r="C191" s="40">
        <v>10</v>
      </c>
      <c r="D191" s="40">
        <v>0</v>
      </c>
      <c r="E191" s="130">
        <v>0</v>
      </c>
      <c r="F191" s="21">
        <f t="shared" si="13"/>
        <v>10</v>
      </c>
    </row>
    <row r="192" spans="1:6" ht="15" customHeight="1" x14ac:dyDescent="0.25">
      <c r="A192" s="85" t="s">
        <v>173</v>
      </c>
      <c r="B192" s="69" t="s">
        <v>36</v>
      </c>
      <c r="C192" s="40">
        <v>50</v>
      </c>
      <c r="D192" s="40">
        <v>0</v>
      </c>
      <c r="E192" s="130">
        <v>0</v>
      </c>
      <c r="F192" s="21">
        <f t="shared" si="13"/>
        <v>50</v>
      </c>
    </row>
    <row r="193" spans="1:7" ht="15.75" customHeight="1" x14ac:dyDescent="0.25">
      <c r="A193" s="18" t="s">
        <v>174</v>
      </c>
      <c r="B193" s="69" t="s">
        <v>36</v>
      </c>
      <c r="C193" s="40">
        <v>668</v>
      </c>
      <c r="D193" s="40">
        <v>0</v>
      </c>
      <c r="E193" s="130">
        <v>0</v>
      </c>
      <c r="F193" s="21">
        <f t="shared" si="13"/>
        <v>668</v>
      </c>
    </row>
    <row r="194" spans="1:7" ht="15" customHeight="1" x14ac:dyDescent="0.25">
      <c r="A194" s="18" t="s">
        <v>175</v>
      </c>
      <c r="B194" s="69" t="s">
        <v>36</v>
      </c>
      <c r="C194" s="40">
        <v>526</v>
      </c>
      <c r="D194" s="40">
        <v>0</v>
      </c>
      <c r="E194" s="130">
        <v>0</v>
      </c>
      <c r="F194" s="21">
        <f t="shared" si="13"/>
        <v>526</v>
      </c>
    </row>
    <row r="195" spans="1:7" ht="15" customHeight="1" x14ac:dyDescent="0.25">
      <c r="A195" s="18" t="s">
        <v>176</v>
      </c>
      <c r="B195" s="69" t="s">
        <v>36</v>
      </c>
      <c r="C195" s="40">
        <v>110</v>
      </c>
      <c r="D195" s="40">
        <v>0</v>
      </c>
      <c r="E195" s="130">
        <v>0</v>
      </c>
      <c r="F195" s="21">
        <f t="shared" si="13"/>
        <v>110</v>
      </c>
    </row>
    <row r="196" spans="1:7" ht="15" customHeight="1" x14ac:dyDescent="0.25">
      <c r="A196" s="18" t="s">
        <v>177</v>
      </c>
      <c r="B196" s="69" t="s">
        <v>36</v>
      </c>
      <c r="C196" s="40">
        <v>476</v>
      </c>
      <c r="D196" s="40">
        <v>0</v>
      </c>
      <c r="E196" s="130">
        <v>0</v>
      </c>
      <c r="F196" s="21">
        <f t="shared" si="13"/>
        <v>476</v>
      </c>
    </row>
    <row r="197" spans="1:7" ht="15" customHeight="1" x14ac:dyDescent="0.25">
      <c r="A197" s="18" t="s">
        <v>178</v>
      </c>
      <c r="B197" s="69" t="s">
        <v>36</v>
      </c>
      <c r="C197" s="40">
        <v>100</v>
      </c>
      <c r="D197" s="40">
        <v>0</v>
      </c>
      <c r="E197" s="130">
        <v>0</v>
      </c>
      <c r="F197" s="21">
        <f t="shared" si="13"/>
        <v>100</v>
      </c>
    </row>
    <row r="198" spans="1:7" ht="13.5" customHeight="1" x14ac:dyDescent="0.25">
      <c r="A198" s="42" t="s">
        <v>179</v>
      </c>
      <c r="B198" s="69" t="s">
        <v>36</v>
      </c>
      <c r="C198" s="40">
        <v>200</v>
      </c>
      <c r="D198" s="40">
        <v>0</v>
      </c>
      <c r="E198" s="130">
        <v>0</v>
      </c>
      <c r="F198" s="21">
        <f t="shared" si="13"/>
        <v>200</v>
      </c>
    </row>
    <row r="199" spans="1:7" ht="15" customHeight="1" x14ac:dyDescent="0.25">
      <c r="A199" s="18" t="s">
        <v>180</v>
      </c>
      <c r="B199" s="69" t="s">
        <v>36</v>
      </c>
      <c r="C199" s="40">
        <v>100</v>
      </c>
      <c r="D199" s="40">
        <v>0</v>
      </c>
      <c r="E199" s="130">
        <v>0</v>
      </c>
      <c r="F199" s="21">
        <f t="shared" si="13"/>
        <v>100</v>
      </c>
    </row>
    <row r="200" spans="1:7" ht="18.75" customHeight="1" thickBot="1" x14ac:dyDescent="0.3">
      <c r="A200" s="151" t="s">
        <v>181</v>
      </c>
      <c r="B200" s="161"/>
      <c r="C200" s="162">
        <v>8793.5</v>
      </c>
      <c r="D200" s="162">
        <f>-20</f>
        <v>-20</v>
      </c>
      <c r="E200" s="154">
        <v>6135</v>
      </c>
      <c r="F200" s="155">
        <f t="shared" si="13"/>
        <v>14908.5</v>
      </c>
    </row>
    <row r="201" spans="1:7" ht="16.5" customHeight="1" thickBot="1" x14ac:dyDescent="0.3">
      <c r="A201" s="72" t="s">
        <v>182</v>
      </c>
      <c r="B201" s="66"/>
      <c r="C201" s="56">
        <f>SUM(C203:C203)</f>
        <v>300</v>
      </c>
      <c r="D201" s="56">
        <f>SUM(D203)</f>
        <v>4619</v>
      </c>
      <c r="E201" s="138">
        <f>SUM(E203)</f>
        <v>486</v>
      </c>
      <c r="F201" s="57">
        <f>SUM(C201:E201)</f>
        <v>5405</v>
      </c>
      <c r="G201" s="30"/>
    </row>
    <row r="202" spans="1:7" ht="12.75" customHeight="1" x14ac:dyDescent="0.25">
      <c r="A202" s="73" t="s">
        <v>27</v>
      </c>
      <c r="B202" s="63"/>
      <c r="C202" s="39"/>
      <c r="D202" s="39"/>
      <c r="E202" s="129"/>
      <c r="F202" s="17"/>
    </row>
    <row r="203" spans="1:7" ht="15.75" customHeight="1" thickBot="1" x14ac:dyDescent="0.3">
      <c r="A203" s="151" t="s">
        <v>183</v>
      </c>
      <c r="B203" s="152"/>
      <c r="C203" s="162">
        <v>300</v>
      </c>
      <c r="D203" s="162">
        <f>3559+992+68</f>
        <v>4619</v>
      </c>
      <c r="E203" s="154">
        <v>486</v>
      </c>
      <c r="F203" s="155">
        <f>SUM(C203:E203)</f>
        <v>5405</v>
      </c>
    </row>
    <row r="204" spans="1:7" ht="15" customHeight="1" thickBot="1" x14ac:dyDescent="0.3">
      <c r="A204" s="72" t="s">
        <v>184</v>
      </c>
      <c r="B204" s="66"/>
      <c r="C204" s="56">
        <f>SUM(C206:C221)</f>
        <v>18536.239999999998</v>
      </c>
      <c r="D204" s="56">
        <f>SUM(D206:D221)</f>
        <v>408.98</v>
      </c>
      <c r="E204" s="138">
        <f>SUM(E206:E221)</f>
        <v>0</v>
      </c>
      <c r="F204" s="57">
        <f>SUM(C204:E204)</f>
        <v>18945.219999999998</v>
      </c>
      <c r="G204" s="30"/>
    </row>
    <row r="205" spans="1:7" ht="12.75" customHeight="1" x14ac:dyDescent="0.25">
      <c r="A205" s="73" t="s">
        <v>27</v>
      </c>
      <c r="B205" s="63"/>
      <c r="C205" s="39"/>
      <c r="D205" s="39"/>
      <c r="E205" s="129"/>
      <c r="F205" s="17"/>
    </row>
    <row r="206" spans="1:7" ht="26.25" customHeight="1" x14ac:dyDescent="0.25">
      <c r="A206" s="18" t="s">
        <v>185</v>
      </c>
      <c r="B206" s="69" t="s">
        <v>186</v>
      </c>
      <c r="C206" s="40">
        <v>860</v>
      </c>
      <c r="D206" s="40">
        <v>0</v>
      </c>
      <c r="E206" s="130">
        <v>-398</v>
      </c>
      <c r="F206" s="21">
        <f>SUM(C206:E206)</f>
        <v>462</v>
      </c>
    </row>
    <row r="207" spans="1:7" ht="16.5" customHeight="1" x14ac:dyDescent="0.25">
      <c r="A207" s="18" t="s">
        <v>187</v>
      </c>
      <c r="B207" s="69" t="s">
        <v>188</v>
      </c>
      <c r="C207" s="40">
        <v>400</v>
      </c>
      <c r="D207" s="40">
        <v>0</v>
      </c>
      <c r="E207" s="130">
        <v>398</v>
      </c>
      <c r="F207" s="21">
        <f t="shared" ref="F207:F221" si="14">SUM(C207:E207)</f>
        <v>798</v>
      </c>
    </row>
    <row r="208" spans="1:7" ht="26.25" customHeight="1" x14ac:dyDescent="0.25">
      <c r="A208" s="18" t="s">
        <v>189</v>
      </c>
      <c r="B208" s="69" t="s">
        <v>190</v>
      </c>
      <c r="C208" s="40">
        <v>300</v>
      </c>
      <c r="D208" s="40">
        <v>0</v>
      </c>
      <c r="E208" s="130">
        <v>0</v>
      </c>
      <c r="F208" s="21">
        <f t="shared" si="14"/>
        <v>300</v>
      </c>
    </row>
    <row r="209" spans="1:7" ht="15" customHeight="1" x14ac:dyDescent="0.25">
      <c r="A209" s="18" t="s">
        <v>191</v>
      </c>
      <c r="B209" s="69" t="s">
        <v>36</v>
      </c>
      <c r="C209" s="40">
        <v>7502</v>
      </c>
      <c r="D209" s="40">
        <v>0</v>
      </c>
      <c r="E209" s="130">
        <v>0</v>
      </c>
      <c r="F209" s="21">
        <f t="shared" si="14"/>
        <v>7502</v>
      </c>
    </row>
    <row r="210" spans="1:7" ht="18" customHeight="1" x14ac:dyDescent="0.25">
      <c r="A210" s="18" t="s">
        <v>192</v>
      </c>
      <c r="B210" s="69" t="s">
        <v>36</v>
      </c>
      <c r="C210" s="40">
        <v>850</v>
      </c>
      <c r="D210" s="40">
        <v>0</v>
      </c>
      <c r="E210" s="130">
        <v>0</v>
      </c>
      <c r="F210" s="21">
        <f t="shared" si="14"/>
        <v>850</v>
      </c>
    </row>
    <row r="211" spans="1:7" ht="27.75" customHeight="1" x14ac:dyDescent="0.25">
      <c r="A211" s="18" t="s">
        <v>193</v>
      </c>
      <c r="B211" s="69"/>
      <c r="C211" s="40">
        <v>355</v>
      </c>
      <c r="D211" s="40">
        <v>0</v>
      </c>
      <c r="E211" s="130">
        <v>0</v>
      </c>
      <c r="F211" s="21">
        <f t="shared" si="14"/>
        <v>355</v>
      </c>
    </row>
    <row r="212" spans="1:7" ht="15.75" customHeight="1" x14ac:dyDescent="0.25">
      <c r="A212" s="70" t="s">
        <v>194</v>
      </c>
      <c r="B212" s="69" t="s">
        <v>195</v>
      </c>
      <c r="C212" s="40">
        <v>500</v>
      </c>
      <c r="D212" s="40">
        <v>0</v>
      </c>
      <c r="E212" s="130">
        <v>0</v>
      </c>
      <c r="F212" s="21">
        <f t="shared" si="14"/>
        <v>500</v>
      </c>
    </row>
    <row r="213" spans="1:7" ht="15.75" customHeight="1" x14ac:dyDescent="0.25">
      <c r="A213" s="18" t="s">
        <v>196</v>
      </c>
      <c r="B213" s="69"/>
      <c r="C213" s="40">
        <v>70</v>
      </c>
      <c r="D213" s="40">
        <v>0</v>
      </c>
      <c r="E213" s="130">
        <v>0</v>
      </c>
      <c r="F213" s="21">
        <f t="shared" si="14"/>
        <v>70</v>
      </c>
    </row>
    <row r="214" spans="1:7" ht="15" customHeight="1" x14ac:dyDescent="0.25">
      <c r="A214" s="70" t="s">
        <v>197</v>
      </c>
      <c r="B214" s="69"/>
      <c r="C214" s="40">
        <v>480</v>
      </c>
      <c r="D214" s="40">
        <v>0</v>
      </c>
      <c r="E214" s="130">
        <v>0</v>
      </c>
      <c r="F214" s="21">
        <f t="shared" si="14"/>
        <v>480</v>
      </c>
    </row>
    <row r="215" spans="1:7" ht="16.5" customHeight="1" x14ac:dyDescent="0.25">
      <c r="A215" s="70" t="s">
        <v>198</v>
      </c>
      <c r="B215" s="69"/>
      <c r="C215" s="40">
        <v>2</v>
      </c>
      <c r="D215" s="40">
        <v>0</v>
      </c>
      <c r="E215" s="130">
        <v>0</v>
      </c>
      <c r="F215" s="21">
        <f t="shared" si="14"/>
        <v>2</v>
      </c>
    </row>
    <row r="216" spans="1:7" ht="16.5" customHeight="1" x14ac:dyDescent="0.25">
      <c r="A216" s="70" t="s">
        <v>199</v>
      </c>
      <c r="B216" s="69"/>
      <c r="C216" s="40">
        <v>188</v>
      </c>
      <c r="D216" s="40">
        <v>0</v>
      </c>
      <c r="E216" s="130">
        <v>0</v>
      </c>
      <c r="F216" s="21">
        <f t="shared" si="14"/>
        <v>188</v>
      </c>
    </row>
    <row r="217" spans="1:7" ht="15" customHeight="1" x14ac:dyDescent="0.25">
      <c r="A217" s="70" t="s">
        <v>200</v>
      </c>
      <c r="B217" s="69"/>
      <c r="C217" s="40">
        <v>15</v>
      </c>
      <c r="D217" s="40">
        <v>0</v>
      </c>
      <c r="E217" s="130">
        <v>0</v>
      </c>
      <c r="F217" s="21">
        <f t="shared" si="14"/>
        <v>15</v>
      </c>
    </row>
    <row r="218" spans="1:7" ht="28.5" customHeight="1" x14ac:dyDescent="0.25">
      <c r="A218" s="18" t="s">
        <v>201</v>
      </c>
      <c r="B218" s="69"/>
      <c r="C218" s="40">
        <v>50</v>
      </c>
      <c r="D218" s="40">
        <v>0</v>
      </c>
      <c r="E218" s="130">
        <v>0</v>
      </c>
      <c r="F218" s="21">
        <f t="shared" si="14"/>
        <v>50</v>
      </c>
    </row>
    <row r="219" spans="1:7" ht="23.25" customHeight="1" x14ac:dyDescent="0.25">
      <c r="A219" s="18" t="s">
        <v>202</v>
      </c>
      <c r="B219" s="69"/>
      <c r="C219" s="40">
        <v>30</v>
      </c>
      <c r="D219" s="40">
        <v>0</v>
      </c>
      <c r="E219" s="130">
        <v>0</v>
      </c>
      <c r="F219" s="21">
        <f t="shared" si="14"/>
        <v>30</v>
      </c>
    </row>
    <row r="220" spans="1:7" ht="16.5" customHeight="1" x14ac:dyDescent="0.25">
      <c r="A220" s="18" t="s">
        <v>203</v>
      </c>
      <c r="B220" s="69"/>
      <c r="C220" s="40">
        <v>600</v>
      </c>
      <c r="D220" s="40">
        <v>0</v>
      </c>
      <c r="E220" s="130">
        <v>0</v>
      </c>
      <c r="F220" s="21">
        <f t="shared" si="14"/>
        <v>600</v>
      </c>
    </row>
    <row r="221" spans="1:7" ht="17.25" customHeight="1" thickBot="1" x14ac:dyDescent="0.3">
      <c r="A221" s="163" t="s">
        <v>204</v>
      </c>
      <c r="B221" s="152"/>
      <c r="C221" s="162">
        <v>6334.24</v>
      </c>
      <c r="D221" s="162">
        <f>408.98</f>
        <v>408.98</v>
      </c>
      <c r="E221" s="154">
        <v>0</v>
      </c>
      <c r="F221" s="155">
        <f t="shared" si="14"/>
        <v>6743.2199999999993</v>
      </c>
    </row>
    <row r="222" spans="1:7" ht="16.350000000000001" customHeight="1" thickBot="1" x14ac:dyDescent="0.3">
      <c r="A222" s="72" t="s">
        <v>205</v>
      </c>
      <c r="B222" s="66"/>
      <c r="C222" s="56">
        <f>SUM(C224:C225)</f>
        <v>59013</v>
      </c>
      <c r="D222" s="56">
        <f>SUM(D224:D225)</f>
        <v>9</v>
      </c>
      <c r="E222" s="138">
        <f>SUM(E224:E225)</f>
        <v>0</v>
      </c>
      <c r="F222" s="57">
        <f>SUM(C222:E222)</f>
        <v>59022</v>
      </c>
      <c r="G222" s="30"/>
    </row>
    <row r="223" spans="1:7" ht="13.5" customHeight="1" x14ac:dyDescent="0.25">
      <c r="A223" s="73" t="s">
        <v>27</v>
      </c>
      <c r="B223" s="63"/>
      <c r="C223" s="39"/>
      <c r="D223" s="39"/>
      <c r="E223" s="129"/>
      <c r="F223" s="17"/>
    </row>
    <row r="224" spans="1:7" ht="17.25" customHeight="1" x14ac:dyDescent="0.25">
      <c r="A224" s="70" t="s">
        <v>30</v>
      </c>
      <c r="B224" s="65"/>
      <c r="C224" s="40">
        <v>300</v>
      </c>
      <c r="D224" s="40">
        <f>9</f>
        <v>9</v>
      </c>
      <c r="E224" s="130">
        <v>0</v>
      </c>
      <c r="F224" s="21">
        <f>SUM(C224:E224)</f>
        <v>309</v>
      </c>
    </row>
    <row r="225" spans="1:7" ht="15.75" customHeight="1" thickBot="1" x14ac:dyDescent="0.3">
      <c r="A225" s="151" t="s">
        <v>206</v>
      </c>
      <c r="B225" s="152"/>
      <c r="C225" s="162">
        <v>58713</v>
      </c>
      <c r="D225" s="162">
        <v>0</v>
      </c>
      <c r="E225" s="154">
        <v>0</v>
      </c>
      <c r="F225" s="155">
        <f>SUM(C225:E225)</f>
        <v>58713</v>
      </c>
    </row>
    <row r="226" spans="1:7" ht="16.5" customHeight="1" thickBot="1" x14ac:dyDescent="0.3">
      <c r="A226" s="72" t="s">
        <v>207</v>
      </c>
      <c r="B226" s="66"/>
      <c r="C226" s="56">
        <f>SUM(C228:C229)</f>
        <v>27507</v>
      </c>
      <c r="D226" s="56">
        <f>SUM(D228:D229)</f>
        <v>8108.52</v>
      </c>
      <c r="E226" s="138">
        <f>SUM(E228:E229)</f>
        <v>0</v>
      </c>
      <c r="F226" s="57">
        <f>SUM(C226:E226)</f>
        <v>35615.520000000004</v>
      </c>
      <c r="G226" s="30"/>
    </row>
    <row r="227" spans="1:7" ht="15" customHeight="1" x14ac:dyDescent="0.25">
      <c r="A227" s="73" t="s">
        <v>27</v>
      </c>
      <c r="B227" s="63"/>
      <c r="C227" s="39"/>
      <c r="D227" s="39"/>
      <c r="E227" s="129"/>
      <c r="F227" s="17"/>
    </row>
    <row r="228" spans="1:7" ht="15" customHeight="1" x14ac:dyDescent="0.25">
      <c r="A228" s="18" t="s">
        <v>30</v>
      </c>
      <c r="B228" s="65"/>
      <c r="C228" s="40">
        <v>100</v>
      </c>
      <c r="D228" s="40">
        <v>0</v>
      </c>
      <c r="E228" s="130">
        <v>0</v>
      </c>
      <c r="F228" s="21">
        <f>SUM(C228:E228)</f>
        <v>100</v>
      </c>
    </row>
    <row r="229" spans="1:7" ht="16.5" customHeight="1" thickBot="1" x14ac:dyDescent="0.3">
      <c r="A229" s="22" t="s">
        <v>208</v>
      </c>
      <c r="B229" s="60"/>
      <c r="C229" s="91">
        <v>27407</v>
      </c>
      <c r="D229" s="91">
        <f>5210.92+2944-46.4</f>
        <v>8108.52</v>
      </c>
      <c r="E229" s="131">
        <v>0</v>
      </c>
      <c r="F229" s="25">
        <f>SUM(C229:E229)</f>
        <v>35515.520000000004</v>
      </c>
    </row>
    <row r="230" spans="1:7" ht="15.75" customHeight="1" thickBot="1" x14ac:dyDescent="0.3">
      <c r="A230" s="92" t="s">
        <v>209</v>
      </c>
      <c r="B230" s="66"/>
      <c r="C230" s="56">
        <f>SUM(C232:C233)</f>
        <v>5667</v>
      </c>
      <c r="D230" s="56">
        <f>SUM(D232:D233)</f>
        <v>0</v>
      </c>
      <c r="E230" s="138">
        <f>SUM(E232:E233)</f>
        <v>0</v>
      </c>
      <c r="F230" s="57">
        <f>SUM(C230:E230)</f>
        <v>5667</v>
      </c>
      <c r="G230" s="30"/>
    </row>
    <row r="231" spans="1:7" ht="13.5" customHeight="1" x14ac:dyDescent="0.25">
      <c r="A231" s="73" t="s">
        <v>27</v>
      </c>
      <c r="B231" s="63"/>
      <c r="C231" s="39"/>
      <c r="D231" s="39"/>
      <c r="E231" s="129"/>
      <c r="F231" s="17"/>
    </row>
    <row r="232" spans="1:7" ht="15.75" customHeight="1" x14ac:dyDescent="0.25">
      <c r="A232" s="70" t="s">
        <v>30</v>
      </c>
      <c r="B232" s="65"/>
      <c r="C232" s="40">
        <v>380</v>
      </c>
      <c r="D232" s="40">
        <v>0</v>
      </c>
      <c r="E232" s="130">
        <v>0</v>
      </c>
      <c r="F232" s="21">
        <f>SUM(C232:E232)</f>
        <v>380</v>
      </c>
    </row>
    <row r="233" spans="1:7" ht="24.75" customHeight="1" thickBot="1" x14ac:dyDescent="0.3">
      <c r="A233" s="22" t="s">
        <v>210</v>
      </c>
      <c r="B233" s="60"/>
      <c r="C233" s="91">
        <v>5287</v>
      </c>
      <c r="D233" s="91">
        <v>0</v>
      </c>
      <c r="E233" s="131">
        <v>0</v>
      </c>
      <c r="F233" s="21">
        <f t="shared" ref="F233" si="15">SUM(C233:E233)</f>
        <v>5287</v>
      </c>
    </row>
    <row r="234" spans="1:7" ht="16.5" customHeight="1" thickBot="1" x14ac:dyDescent="0.3">
      <c r="A234" s="93" t="s">
        <v>211</v>
      </c>
      <c r="B234" s="94"/>
      <c r="C234" s="95">
        <f>SUM(C24+C33+C38+C46+C50+C55+C142+C156+C165+C201+C204+C222+C226+C230)</f>
        <v>1553728.91</v>
      </c>
      <c r="D234" s="95">
        <f>SUM(D24+D33+D38+D46+D50+D55+D142+D156+D165+D201+D204+D222+D226+D230)</f>
        <v>6087.43</v>
      </c>
      <c r="E234" s="95">
        <f>SUM(E24+E33+E38+E46+E50+E55+E142+E156+E165+E201+E204+E222+E226+E230)</f>
        <v>58806.520000000004</v>
      </c>
      <c r="F234" s="96">
        <f>SUM(C234:E234)</f>
        <v>1618622.8599999999</v>
      </c>
      <c r="G234" s="30"/>
    </row>
    <row r="235" spans="1:7" ht="13.5" customHeight="1" thickBot="1" x14ac:dyDescent="0.3">
      <c r="A235" s="97"/>
      <c r="B235" s="98"/>
      <c r="C235" s="99"/>
      <c r="D235" s="99"/>
      <c r="E235" s="139"/>
      <c r="F235" s="100"/>
    </row>
    <row r="236" spans="1:7" ht="15.75" customHeight="1" thickBot="1" x14ac:dyDescent="0.3">
      <c r="A236" s="93" t="s">
        <v>212</v>
      </c>
      <c r="B236" s="101"/>
      <c r="C236" s="52"/>
      <c r="D236" s="52"/>
      <c r="E236" s="137"/>
      <c r="F236" s="53"/>
    </row>
    <row r="237" spans="1:7" ht="17.25" customHeight="1" thickBot="1" x14ac:dyDescent="0.3">
      <c r="A237" s="72" t="s">
        <v>26</v>
      </c>
      <c r="B237" s="66"/>
      <c r="C237" s="56">
        <f t="shared" ref="C237" si="16">SUM(C239)</f>
        <v>0</v>
      </c>
      <c r="D237" s="56">
        <f>SUM(D239)</f>
        <v>0</v>
      </c>
      <c r="E237" s="138">
        <f>SUM(E239)</f>
        <v>0</v>
      </c>
      <c r="F237" s="57">
        <f>SUM(C237:E237)</f>
        <v>0</v>
      </c>
      <c r="G237" s="30"/>
    </row>
    <row r="238" spans="1:7" ht="15.75" customHeight="1" x14ac:dyDescent="0.25">
      <c r="A238" s="73" t="s">
        <v>27</v>
      </c>
      <c r="B238" s="63"/>
      <c r="C238" s="16"/>
      <c r="D238" s="16"/>
      <c r="E238" s="129"/>
      <c r="F238" s="17"/>
    </row>
    <row r="239" spans="1:7" ht="18" customHeight="1" thickBot="1" x14ac:dyDescent="0.3">
      <c r="A239" s="151" t="s">
        <v>213</v>
      </c>
      <c r="B239" s="152"/>
      <c r="C239" s="153">
        <v>0</v>
      </c>
      <c r="D239" s="153">
        <v>0</v>
      </c>
      <c r="E239" s="154">
        <v>0</v>
      </c>
      <c r="F239" s="155">
        <f>SUM(C239:E239)</f>
        <v>0</v>
      </c>
    </row>
    <row r="240" spans="1:7" ht="17.25" customHeight="1" thickBot="1" x14ac:dyDescent="0.3">
      <c r="A240" s="72" t="s">
        <v>214</v>
      </c>
      <c r="B240" s="66"/>
      <c r="C240" s="56">
        <f>SUM(C242:C244)</f>
        <v>8000</v>
      </c>
      <c r="D240" s="56">
        <f>SUM(D242:D244)</f>
        <v>50</v>
      </c>
      <c r="E240" s="138">
        <f>SUM(E242:E244)</f>
        <v>0</v>
      </c>
      <c r="F240" s="57">
        <f>SUM(C240:E240)</f>
        <v>8050</v>
      </c>
      <c r="G240" s="30"/>
    </row>
    <row r="241" spans="1:7" ht="15.75" customHeight="1" x14ac:dyDescent="0.25">
      <c r="A241" s="73" t="s">
        <v>27</v>
      </c>
      <c r="B241" s="63"/>
      <c r="C241" s="16"/>
      <c r="D241" s="16"/>
      <c r="E241" s="129"/>
      <c r="F241" s="17"/>
    </row>
    <row r="242" spans="1:7" ht="16.5" customHeight="1" x14ac:dyDescent="0.25">
      <c r="A242" s="70" t="s">
        <v>215</v>
      </c>
      <c r="B242" s="65"/>
      <c r="C242" s="20">
        <v>8000</v>
      </c>
      <c r="D242" s="20">
        <f>50</f>
        <v>50</v>
      </c>
      <c r="E242" s="130">
        <v>0</v>
      </c>
      <c r="F242" s="21">
        <f>SUM(C242:E242)</f>
        <v>8050</v>
      </c>
    </row>
    <row r="243" spans="1:7" ht="17.25" customHeight="1" x14ac:dyDescent="0.25">
      <c r="A243" s="70" t="s">
        <v>216</v>
      </c>
      <c r="B243" s="65"/>
      <c r="C243" s="20">
        <v>0</v>
      </c>
      <c r="D243" s="20">
        <v>0</v>
      </c>
      <c r="E243" s="130">
        <v>0</v>
      </c>
      <c r="F243" s="21">
        <f t="shared" ref="F243:F244" si="17">SUM(C243:E243)</f>
        <v>0</v>
      </c>
    </row>
    <row r="244" spans="1:7" ht="18.75" customHeight="1" thickBot="1" x14ac:dyDescent="0.3">
      <c r="A244" s="151" t="s">
        <v>217</v>
      </c>
      <c r="B244" s="152"/>
      <c r="C244" s="153">
        <v>0</v>
      </c>
      <c r="D244" s="153">
        <v>0</v>
      </c>
      <c r="E244" s="154">
        <v>0</v>
      </c>
      <c r="F244" s="155">
        <f t="shared" si="17"/>
        <v>0</v>
      </c>
    </row>
    <row r="245" spans="1:7" ht="18" customHeight="1" thickBot="1" x14ac:dyDescent="0.3">
      <c r="A245" s="72" t="s">
        <v>33</v>
      </c>
      <c r="B245" s="66"/>
      <c r="C245" s="56">
        <f t="shared" ref="C245" si="18">SUM(C247:C254)</f>
        <v>146292.67000000001</v>
      </c>
      <c r="D245" s="56">
        <f>SUM(D247:D254)</f>
        <v>-141.66</v>
      </c>
      <c r="E245" s="138">
        <f>SUM(E247:E254)</f>
        <v>162688.91999999998</v>
      </c>
      <c r="F245" s="57">
        <f>SUM(C245:E245)</f>
        <v>308839.93</v>
      </c>
      <c r="G245" s="30"/>
    </row>
    <row r="246" spans="1:7" ht="15" customHeight="1" x14ac:dyDescent="0.25">
      <c r="A246" s="73" t="s">
        <v>27</v>
      </c>
      <c r="B246" s="63"/>
      <c r="C246" s="16"/>
      <c r="D246" s="16"/>
      <c r="E246" s="129"/>
      <c r="F246" s="17"/>
    </row>
    <row r="247" spans="1:7" ht="15.75" customHeight="1" x14ac:dyDescent="0.25">
      <c r="A247" s="70" t="s">
        <v>218</v>
      </c>
      <c r="B247" s="65"/>
      <c r="C247" s="20">
        <v>1600</v>
      </c>
      <c r="D247" s="20">
        <v>0</v>
      </c>
      <c r="E247" s="130">
        <v>4456.45</v>
      </c>
      <c r="F247" s="21">
        <f>SUM(C247:E247)</f>
        <v>6056.45</v>
      </c>
    </row>
    <row r="248" spans="1:7" ht="17.25" customHeight="1" x14ac:dyDescent="0.25">
      <c r="A248" s="70" t="s">
        <v>219</v>
      </c>
      <c r="B248" s="65"/>
      <c r="C248" s="20">
        <v>3100</v>
      </c>
      <c r="D248" s="20">
        <f>-81.66</f>
        <v>-81.66</v>
      </c>
      <c r="E248" s="130">
        <v>4753.5600000000004</v>
      </c>
      <c r="F248" s="21">
        <f t="shared" ref="F248:F254" si="19">SUM(C248:E248)</f>
        <v>7771.9000000000005</v>
      </c>
    </row>
    <row r="249" spans="1:7" ht="16.5" customHeight="1" x14ac:dyDescent="0.25">
      <c r="A249" s="18" t="s">
        <v>220</v>
      </c>
      <c r="B249" s="65"/>
      <c r="C249" s="20">
        <v>1300</v>
      </c>
      <c r="D249" s="20">
        <f>-60</f>
        <v>-60</v>
      </c>
      <c r="E249" s="130">
        <v>2267.6799999999998</v>
      </c>
      <c r="F249" s="21">
        <f t="shared" si="19"/>
        <v>3507.68</v>
      </c>
    </row>
    <row r="250" spans="1:7" ht="17.25" customHeight="1" x14ac:dyDescent="0.25">
      <c r="A250" s="70" t="s">
        <v>221</v>
      </c>
      <c r="B250" s="65"/>
      <c r="C250" s="20">
        <v>2900</v>
      </c>
      <c r="D250" s="20">
        <v>0</v>
      </c>
      <c r="E250" s="130">
        <v>5211.2</v>
      </c>
      <c r="F250" s="21">
        <f t="shared" si="19"/>
        <v>8111.2</v>
      </c>
    </row>
    <row r="251" spans="1:7" ht="16.5" customHeight="1" x14ac:dyDescent="0.25">
      <c r="A251" s="18" t="s">
        <v>222</v>
      </c>
      <c r="B251" s="65"/>
      <c r="C251" s="20">
        <v>1100</v>
      </c>
      <c r="D251" s="20">
        <v>0</v>
      </c>
      <c r="E251" s="130">
        <v>579</v>
      </c>
      <c r="F251" s="21">
        <f t="shared" si="19"/>
        <v>1679</v>
      </c>
    </row>
    <row r="252" spans="1:7" ht="23.25" customHeight="1" x14ac:dyDescent="0.25">
      <c r="A252" s="18" t="s">
        <v>223</v>
      </c>
      <c r="B252" s="65"/>
      <c r="C252" s="20">
        <v>2677.75</v>
      </c>
      <c r="D252" s="20">
        <v>0</v>
      </c>
      <c r="E252" s="130">
        <v>0</v>
      </c>
      <c r="F252" s="21">
        <f t="shared" si="19"/>
        <v>2677.75</v>
      </c>
    </row>
    <row r="253" spans="1:7" ht="15" customHeight="1" x14ac:dyDescent="0.25">
      <c r="A253" s="18" t="s">
        <v>224</v>
      </c>
      <c r="B253" s="65"/>
      <c r="C253" s="20">
        <v>133614.92000000001</v>
      </c>
      <c r="D253" s="20">
        <v>0</v>
      </c>
      <c r="E253" s="130">
        <v>145421.03</v>
      </c>
      <c r="F253" s="21">
        <f t="shared" si="19"/>
        <v>279035.95</v>
      </c>
    </row>
    <row r="254" spans="1:7" ht="15.75" customHeight="1" thickBot="1" x14ac:dyDescent="0.3">
      <c r="A254" s="71" t="s">
        <v>225</v>
      </c>
      <c r="B254" s="60"/>
      <c r="C254" s="24">
        <v>0</v>
      </c>
      <c r="D254" s="24">
        <v>0</v>
      </c>
      <c r="E254" s="131">
        <v>0</v>
      </c>
      <c r="F254" s="21">
        <f t="shared" si="19"/>
        <v>0</v>
      </c>
    </row>
    <row r="255" spans="1:7" ht="15" customHeight="1" thickBot="1" x14ac:dyDescent="0.3">
      <c r="A255" s="72" t="s">
        <v>41</v>
      </c>
      <c r="B255" s="66"/>
      <c r="C255" s="56">
        <f>SUM(C257:C258)</f>
        <v>14737.300000000001</v>
      </c>
      <c r="D255" s="56">
        <f>SUM(D257:D258)</f>
        <v>8656.35</v>
      </c>
      <c r="E255" s="138">
        <f>SUM(E257:E258)</f>
        <v>834.93000000000006</v>
      </c>
      <c r="F255" s="57">
        <f>SUM(C255:E255)</f>
        <v>24228.58</v>
      </c>
      <c r="G255" s="30"/>
    </row>
    <row r="256" spans="1:7" ht="16.5" customHeight="1" x14ac:dyDescent="0.25">
      <c r="A256" s="73" t="s">
        <v>27</v>
      </c>
      <c r="B256" s="63"/>
      <c r="C256" s="16"/>
      <c r="D256" s="16"/>
      <c r="E256" s="129"/>
      <c r="F256" s="17"/>
    </row>
    <row r="257" spans="1:7" ht="16.5" customHeight="1" x14ac:dyDescent="0.25">
      <c r="A257" s="70" t="s">
        <v>215</v>
      </c>
      <c r="B257" s="65"/>
      <c r="C257" s="20">
        <v>13059.1</v>
      </c>
      <c r="D257" s="20">
        <f>7964.48-27.59+281.78+437.68</f>
        <v>8656.35</v>
      </c>
      <c r="E257" s="130">
        <v>610</v>
      </c>
      <c r="F257" s="21">
        <f t="shared" ref="F257:F258" si="20">SUM(C257:E257)</f>
        <v>22325.45</v>
      </c>
    </row>
    <row r="258" spans="1:7" ht="16.5" customHeight="1" thickBot="1" x14ac:dyDescent="0.3">
      <c r="A258" s="22" t="s">
        <v>226</v>
      </c>
      <c r="B258" s="60"/>
      <c r="C258" s="24">
        <v>1678.2</v>
      </c>
      <c r="D258" s="24">
        <v>0</v>
      </c>
      <c r="E258" s="131">
        <v>224.93</v>
      </c>
      <c r="F258" s="21">
        <f t="shared" si="20"/>
        <v>1903.13</v>
      </c>
    </row>
    <row r="259" spans="1:7" ht="16.5" customHeight="1" thickBot="1" x14ac:dyDescent="0.3">
      <c r="A259" s="102" t="s">
        <v>43</v>
      </c>
      <c r="B259" s="62"/>
      <c r="C259" s="103">
        <f t="shared" ref="C259" si="21">SUM(C261:C262)</f>
        <v>0</v>
      </c>
      <c r="D259" s="103">
        <f>SUM(D261:D262)</f>
        <v>0</v>
      </c>
      <c r="E259" s="138">
        <f>SUM(E261:E262)</f>
        <v>0</v>
      </c>
      <c r="F259" s="57">
        <f>SUM(C259:E259)</f>
        <v>0</v>
      </c>
      <c r="G259" s="30"/>
    </row>
    <row r="260" spans="1:7" ht="15" customHeight="1" x14ac:dyDescent="0.25">
      <c r="A260" s="73" t="s">
        <v>27</v>
      </c>
      <c r="B260" s="63"/>
      <c r="C260" s="16"/>
      <c r="D260" s="16"/>
      <c r="E260" s="129"/>
      <c r="F260" s="17"/>
    </row>
    <row r="261" spans="1:7" ht="17.25" customHeight="1" x14ac:dyDescent="0.25">
      <c r="A261" s="70" t="s">
        <v>215</v>
      </c>
      <c r="B261" s="65"/>
      <c r="C261" s="20">
        <v>0</v>
      </c>
      <c r="D261" s="20">
        <v>0</v>
      </c>
      <c r="E261" s="130">
        <v>0</v>
      </c>
      <c r="F261" s="21">
        <f>SUM(C261:E261)</f>
        <v>0</v>
      </c>
    </row>
    <row r="262" spans="1:7" ht="17.25" customHeight="1" thickBot="1" x14ac:dyDescent="0.3">
      <c r="A262" s="71" t="s">
        <v>227</v>
      </c>
      <c r="B262" s="60"/>
      <c r="C262" s="24">
        <v>0</v>
      </c>
      <c r="D262" s="24">
        <v>0</v>
      </c>
      <c r="E262" s="131">
        <v>0</v>
      </c>
      <c r="F262" s="21">
        <f>SUM(C262:E262)</f>
        <v>0</v>
      </c>
    </row>
    <row r="263" spans="1:7" ht="15.75" customHeight="1" thickBot="1" x14ac:dyDescent="0.3">
      <c r="A263" s="72" t="s">
        <v>47</v>
      </c>
      <c r="B263" s="66"/>
      <c r="C263" s="56">
        <f>SUM(C265:C279)</f>
        <v>2850</v>
      </c>
      <c r="D263" s="56">
        <f>SUM(D265:D279)</f>
        <v>270</v>
      </c>
      <c r="E263" s="138">
        <f>SUM(E265:E279)</f>
        <v>5845.42</v>
      </c>
      <c r="F263" s="57">
        <f>SUM(C263:E263)</f>
        <v>8965.42</v>
      </c>
      <c r="G263" s="30"/>
    </row>
    <row r="264" spans="1:7" ht="15.75" customHeight="1" x14ac:dyDescent="0.25">
      <c r="A264" s="73" t="s">
        <v>27</v>
      </c>
      <c r="B264" s="63"/>
      <c r="C264" s="16"/>
      <c r="D264" s="16"/>
      <c r="E264" s="129"/>
      <c r="F264" s="17"/>
    </row>
    <row r="265" spans="1:7" ht="16.5" customHeight="1" x14ac:dyDescent="0.25">
      <c r="A265" s="70" t="s">
        <v>215</v>
      </c>
      <c r="B265" s="65"/>
      <c r="C265" s="20">
        <v>2850</v>
      </c>
      <c r="D265" s="20">
        <f>130+140</f>
        <v>270</v>
      </c>
      <c r="E265" s="130">
        <v>1965</v>
      </c>
      <c r="F265" s="21">
        <f>SUM(C265:E265)</f>
        <v>5085</v>
      </c>
    </row>
    <row r="266" spans="1:7" ht="27.75" customHeight="1" x14ac:dyDescent="0.25">
      <c r="A266" s="22" t="s">
        <v>276</v>
      </c>
      <c r="B266" s="60" t="s">
        <v>36</v>
      </c>
      <c r="C266" s="24">
        <v>0</v>
      </c>
      <c r="D266" s="104">
        <v>0</v>
      </c>
      <c r="E266" s="140">
        <v>240</v>
      </c>
      <c r="F266" s="21">
        <f t="shared" ref="F266:F278" si="22">SUM(C266:E266)</f>
        <v>240</v>
      </c>
    </row>
    <row r="267" spans="1:7" ht="29.25" customHeight="1" x14ac:dyDescent="0.25">
      <c r="A267" s="18" t="s">
        <v>277</v>
      </c>
      <c r="B267" s="65" t="s">
        <v>36</v>
      </c>
      <c r="C267" s="20">
        <v>0</v>
      </c>
      <c r="D267" s="107">
        <v>0</v>
      </c>
      <c r="E267" s="143">
        <v>750</v>
      </c>
      <c r="F267" s="21">
        <f t="shared" si="22"/>
        <v>750</v>
      </c>
    </row>
    <row r="268" spans="1:7" ht="28.5" customHeight="1" x14ac:dyDescent="0.25">
      <c r="A268" s="18" t="s">
        <v>278</v>
      </c>
      <c r="B268" s="65" t="s">
        <v>36</v>
      </c>
      <c r="C268" s="20">
        <v>0</v>
      </c>
      <c r="D268" s="107">
        <v>0</v>
      </c>
      <c r="E268" s="143">
        <v>60</v>
      </c>
      <c r="F268" s="21">
        <f t="shared" si="22"/>
        <v>60</v>
      </c>
    </row>
    <row r="269" spans="1:7" ht="28.5" customHeight="1" x14ac:dyDescent="0.25">
      <c r="A269" s="18" t="s">
        <v>279</v>
      </c>
      <c r="B269" s="65" t="s">
        <v>273</v>
      </c>
      <c r="C269" s="20">
        <v>0</v>
      </c>
      <c r="D269" s="107">
        <v>0</v>
      </c>
      <c r="E269" s="143">
        <v>68.84</v>
      </c>
      <c r="F269" s="21">
        <f t="shared" si="22"/>
        <v>68.84</v>
      </c>
    </row>
    <row r="270" spans="1:7" ht="37.5" customHeight="1" x14ac:dyDescent="0.25">
      <c r="A270" s="18" t="s">
        <v>280</v>
      </c>
      <c r="B270" s="65" t="s">
        <v>273</v>
      </c>
      <c r="C270" s="20">
        <v>0</v>
      </c>
      <c r="D270" s="107">
        <v>0</v>
      </c>
      <c r="E270" s="143">
        <v>11.58</v>
      </c>
      <c r="F270" s="21">
        <f t="shared" si="22"/>
        <v>11.58</v>
      </c>
    </row>
    <row r="271" spans="1:7" ht="15" customHeight="1" x14ac:dyDescent="0.25">
      <c r="A271" s="71" t="s">
        <v>281</v>
      </c>
      <c r="B271" s="60" t="s">
        <v>36</v>
      </c>
      <c r="C271" s="24">
        <v>0</v>
      </c>
      <c r="D271" s="104">
        <v>0</v>
      </c>
      <c r="E271" s="140">
        <v>140</v>
      </c>
      <c r="F271" s="21">
        <f t="shared" si="22"/>
        <v>140</v>
      </c>
    </row>
    <row r="272" spans="1:7" ht="13.5" customHeight="1" x14ac:dyDescent="0.25">
      <c r="A272" s="71" t="s">
        <v>282</v>
      </c>
      <c r="B272" s="60" t="s">
        <v>36</v>
      </c>
      <c r="C272" s="24">
        <v>0</v>
      </c>
      <c r="D272" s="104">
        <v>0</v>
      </c>
      <c r="E272" s="140">
        <v>300</v>
      </c>
      <c r="F272" s="21">
        <f t="shared" si="22"/>
        <v>300</v>
      </c>
    </row>
    <row r="273" spans="1:7" ht="28.5" customHeight="1" x14ac:dyDescent="0.25">
      <c r="A273" s="18" t="s">
        <v>283</v>
      </c>
      <c r="B273" s="65" t="s">
        <v>36</v>
      </c>
      <c r="C273" s="20">
        <v>0</v>
      </c>
      <c r="D273" s="107">
        <v>0</v>
      </c>
      <c r="E273" s="143">
        <v>260</v>
      </c>
      <c r="F273" s="21">
        <f t="shared" si="22"/>
        <v>260</v>
      </c>
    </row>
    <row r="274" spans="1:7" ht="28.5" customHeight="1" x14ac:dyDescent="0.25">
      <c r="A274" s="18" t="s">
        <v>284</v>
      </c>
      <c r="B274" s="65" t="s">
        <v>36</v>
      </c>
      <c r="C274" s="20">
        <v>0</v>
      </c>
      <c r="D274" s="20">
        <v>0</v>
      </c>
      <c r="E274" s="20">
        <v>250</v>
      </c>
      <c r="F274" s="21">
        <f t="shared" si="22"/>
        <v>250</v>
      </c>
    </row>
    <row r="275" spans="1:7" ht="16.5" customHeight="1" x14ac:dyDescent="0.25">
      <c r="A275" s="71" t="s">
        <v>285</v>
      </c>
      <c r="B275" s="60" t="s">
        <v>36</v>
      </c>
      <c r="C275" s="24">
        <v>0</v>
      </c>
      <c r="D275" s="104">
        <v>0</v>
      </c>
      <c r="E275" s="140">
        <v>100</v>
      </c>
      <c r="F275" s="21">
        <f t="shared" si="22"/>
        <v>100</v>
      </c>
    </row>
    <row r="276" spans="1:7" ht="16.5" customHeight="1" x14ac:dyDescent="0.25">
      <c r="A276" s="71" t="s">
        <v>286</v>
      </c>
      <c r="B276" s="60" t="s">
        <v>36</v>
      </c>
      <c r="C276" s="24">
        <v>0</v>
      </c>
      <c r="D276" s="104">
        <v>0</v>
      </c>
      <c r="E276" s="140">
        <v>300</v>
      </c>
      <c r="F276" s="21">
        <f t="shared" si="22"/>
        <v>300</v>
      </c>
    </row>
    <row r="277" spans="1:7" ht="16.5" customHeight="1" x14ac:dyDescent="0.25">
      <c r="A277" s="71" t="s">
        <v>287</v>
      </c>
      <c r="B277" s="60" t="s">
        <v>36</v>
      </c>
      <c r="C277" s="24">
        <v>0</v>
      </c>
      <c r="D277" s="104">
        <v>0</v>
      </c>
      <c r="E277" s="140">
        <v>300</v>
      </c>
      <c r="F277" s="21">
        <f t="shared" si="22"/>
        <v>300</v>
      </c>
    </row>
    <row r="278" spans="1:7" ht="16.5" customHeight="1" x14ac:dyDescent="0.25">
      <c r="A278" s="71" t="s">
        <v>288</v>
      </c>
      <c r="B278" s="60" t="s">
        <v>36</v>
      </c>
      <c r="C278" s="24">
        <v>0</v>
      </c>
      <c r="D278" s="104">
        <v>0</v>
      </c>
      <c r="E278" s="140">
        <v>100</v>
      </c>
      <c r="F278" s="21">
        <f t="shared" si="22"/>
        <v>100</v>
      </c>
    </row>
    <row r="279" spans="1:7" ht="16.5" customHeight="1" thickBot="1" x14ac:dyDescent="0.3">
      <c r="A279" s="151" t="s">
        <v>228</v>
      </c>
      <c r="B279" s="152"/>
      <c r="C279" s="153">
        <v>0</v>
      </c>
      <c r="D279" s="156">
        <v>0</v>
      </c>
      <c r="E279" s="157">
        <v>1000</v>
      </c>
      <c r="F279" s="155">
        <f>SUM(C279:E279)</f>
        <v>1000</v>
      </c>
    </row>
    <row r="280" spans="1:7" ht="16.350000000000001" customHeight="1" thickBot="1" x14ac:dyDescent="0.3">
      <c r="A280" s="72" t="s">
        <v>125</v>
      </c>
      <c r="B280" s="66"/>
      <c r="C280" s="105">
        <f>SUM(C282:C283)</f>
        <v>46983</v>
      </c>
      <c r="D280" s="105">
        <f>SUM(D282:D283)</f>
        <v>0</v>
      </c>
      <c r="E280" s="141">
        <f>SUM(E282:E283)</f>
        <v>7585</v>
      </c>
      <c r="F280" s="57">
        <f>SUM(C280:E280)</f>
        <v>54568</v>
      </c>
      <c r="G280" s="30"/>
    </row>
    <row r="281" spans="1:7" ht="14.25" customHeight="1" x14ac:dyDescent="0.25">
      <c r="A281" s="73" t="s">
        <v>27</v>
      </c>
      <c r="B281" s="63"/>
      <c r="C281" s="16"/>
      <c r="D281" s="106"/>
      <c r="E281" s="142"/>
      <c r="F281" s="17"/>
    </row>
    <row r="282" spans="1:7" ht="15.75" customHeight="1" x14ac:dyDescent="0.25">
      <c r="A282" s="70" t="s">
        <v>215</v>
      </c>
      <c r="B282" s="65"/>
      <c r="C282" s="20">
        <v>46983</v>
      </c>
      <c r="D282" s="107">
        <v>0</v>
      </c>
      <c r="E282" s="143">
        <v>7585</v>
      </c>
      <c r="F282" s="21">
        <f>SUM(C282:E282)</f>
        <v>54568</v>
      </c>
    </row>
    <row r="283" spans="1:7" ht="16.5" customHeight="1" thickBot="1" x14ac:dyDescent="0.3">
      <c r="A283" s="163" t="s">
        <v>229</v>
      </c>
      <c r="B283" s="152"/>
      <c r="C283" s="153">
        <v>0</v>
      </c>
      <c r="D283" s="156">
        <v>0</v>
      </c>
      <c r="E283" s="157">
        <v>0</v>
      </c>
      <c r="F283" s="155">
        <f>SUM(C283:E283)</f>
        <v>0</v>
      </c>
    </row>
    <row r="284" spans="1:7" ht="17.25" customHeight="1" thickBot="1" x14ac:dyDescent="0.3">
      <c r="A284" s="72" t="s">
        <v>135</v>
      </c>
      <c r="B284" s="66"/>
      <c r="C284" s="56">
        <f>SUM(C286:C291)</f>
        <v>24838.940000000002</v>
      </c>
      <c r="D284" s="105">
        <f>SUM(D286:D291)</f>
        <v>50</v>
      </c>
      <c r="E284" s="138">
        <f>SUM(E286:E291)</f>
        <v>-2520</v>
      </c>
      <c r="F284" s="57">
        <f>SUM(C284:E284)</f>
        <v>22368.940000000002</v>
      </c>
      <c r="G284" s="30"/>
    </row>
    <row r="285" spans="1:7" ht="16.5" customHeight="1" x14ac:dyDescent="0.25">
      <c r="A285" s="73" t="s">
        <v>27</v>
      </c>
      <c r="B285" s="63"/>
      <c r="C285" s="16"/>
      <c r="D285" s="106"/>
      <c r="E285" s="129"/>
      <c r="F285" s="17"/>
    </row>
    <row r="286" spans="1:7" ht="15" customHeight="1" x14ac:dyDescent="0.25">
      <c r="A286" s="70" t="s">
        <v>215</v>
      </c>
      <c r="B286" s="65"/>
      <c r="C286" s="20">
        <v>5283.06</v>
      </c>
      <c r="D286" s="20">
        <f>50</f>
        <v>50</v>
      </c>
      <c r="E286" s="130">
        <v>480</v>
      </c>
      <c r="F286" s="21">
        <f>SUM(C286:E286)</f>
        <v>5813.06</v>
      </c>
    </row>
    <row r="287" spans="1:7" ht="26.25" customHeight="1" x14ac:dyDescent="0.25">
      <c r="A287" s="18" t="s">
        <v>230</v>
      </c>
      <c r="B287" s="65"/>
      <c r="C287" s="20">
        <v>3000</v>
      </c>
      <c r="D287" s="20">
        <v>0</v>
      </c>
      <c r="E287" s="130">
        <v>-3000</v>
      </c>
      <c r="F287" s="21">
        <f t="shared" ref="F287:F291" si="23">SUM(C287:E287)</f>
        <v>0</v>
      </c>
    </row>
    <row r="288" spans="1:7" ht="27.75" customHeight="1" x14ac:dyDescent="0.25">
      <c r="A288" s="18" t="s">
        <v>231</v>
      </c>
      <c r="B288" s="65" t="s">
        <v>137</v>
      </c>
      <c r="C288" s="20">
        <v>655.88</v>
      </c>
      <c r="D288" s="20">
        <v>0</v>
      </c>
      <c r="E288" s="130">
        <v>0</v>
      </c>
      <c r="F288" s="21">
        <f t="shared" si="23"/>
        <v>655.88</v>
      </c>
    </row>
    <row r="289" spans="1:7" ht="26.25" customHeight="1" x14ac:dyDescent="0.25">
      <c r="A289" s="18" t="s">
        <v>232</v>
      </c>
      <c r="B289" s="65" t="s">
        <v>233</v>
      </c>
      <c r="C289" s="20">
        <v>15500</v>
      </c>
      <c r="D289" s="20">
        <v>0</v>
      </c>
      <c r="E289" s="130">
        <v>0</v>
      </c>
      <c r="F289" s="21">
        <f t="shared" si="23"/>
        <v>15500</v>
      </c>
    </row>
    <row r="290" spans="1:7" ht="18.75" customHeight="1" x14ac:dyDescent="0.25">
      <c r="A290" s="18" t="s">
        <v>234</v>
      </c>
      <c r="B290" s="69" t="s">
        <v>121</v>
      </c>
      <c r="C290" s="20">
        <v>400</v>
      </c>
      <c r="D290" s="20">
        <v>0</v>
      </c>
      <c r="E290" s="130">
        <v>0</v>
      </c>
      <c r="F290" s="21">
        <f t="shared" si="23"/>
        <v>400</v>
      </c>
    </row>
    <row r="291" spans="1:7" ht="18" customHeight="1" x14ac:dyDescent="0.25">
      <c r="A291" s="18" t="s">
        <v>235</v>
      </c>
      <c r="B291" s="65"/>
      <c r="C291" s="20">
        <v>0</v>
      </c>
      <c r="D291" s="20">
        <v>0</v>
      </c>
      <c r="E291" s="130">
        <v>0</v>
      </c>
      <c r="F291" s="21">
        <f t="shared" si="23"/>
        <v>0</v>
      </c>
    </row>
    <row r="292" spans="1:7" ht="13.5" customHeight="1" thickBot="1" x14ac:dyDescent="0.3">
      <c r="A292" s="170" t="s">
        <v>144</v>
      </c>
      <c r="B292" s="166"/>
      <c r="C292" s="167">
        <f>SUM(C294:C295)</f>
        <v>1000</v>
      </c>
      <c r="D292" s="167">
        <f>SUM(D294:D295)</f>
        <v>0</v>
      </c>
      <c r="E292" s="168">
        <f>SUM(E294:E295)</f>
        <v>0</v>
      </c>
      <c r="F292" s="169">
        <f>SUM(C292:E292)</f>
        <v>1000</v>
      </c>
      <c r="G292" s="30"/>
    </row>
    <row r="293" spans="1:7" ht="13.5" customHeight="1" x14ac:dyDescent="0.25">
      <c r="A293" s="73" t="s">
        <v>27</v>
      </c>
      <c r="B293" s="63"/>
      <c r="C293" s="16"/>
      <c r="D293" s="16"/>
      <c r="E293" s="129"/>
      <c r="F293" s="17"/>
    </row>
    <row r="294" spans="1:7" ht="15" customHeight="1" x14ac:dyDescent="0.25">
      <c r="A294" s="18" t="s">
        <v>236</v>
      </c>
      <c r="B294" s="69" t="s">
        <v>36</v>
      </c>
      <c r="C294" s="20">
        <v>1000</v>
      </c>
      <c r="D294" s="20">
        <v>0</v>
      </c>
      <c r="E294" s="130">
        <v>0</v>
      </c>
      <c r="F294" s="21">
        <f>SUM(C294:E294)</f>
        <v>1000</v>
      </c>
    </row>
    <row r="295" spans="1:7" ht="17.25" customHeight="1" thickBot="1" x14ac:dyDescent="0.3">
      <c r="A295" s="71" t="s">
        <v>237</v>
      </c>
      <c r="B295" s="60"/>
      <c r="C295" s="24">
        <v>0</v>
      </c>
      <c r="D295" s="24">
        <v>0</v>
      </c>
      <c r="E295" s="131">
        <v>0</v>
      </c>
      <c r="F295" s="25">
        <f>SUM(C295:E295)</f>
        <v>0</v>
      </c>
    </row>
    <row r="296" spans="1:7" ht="12.75" customHeight="1" thickBot="1" x14ac:dyDescent="0.3">
      <c r="A296" s="72" t="s">
        <v>182</v>
      </c>
      <c r="B296" s="66"/>
      <c r="C296" s="56">
        <f>SUM(C298:C302)</f>
        <v>253596</v>
      </c>
      <c r="D296" s="56">
        <f>SUM(D298:D302)</f>
        <v>-4619</v>
      </c>
      <c r="E296" s="138">
        <f>SUM(E298:E302)</f>
        <v>24941</v>
      </c>
      <c r="F296" s="57">
        <f>SUM(C296:E296)</f>
        <v>273918</v>
      </c>
      <c r="G296" s="30"/>
    </row>
    <row r="297" spans="1:7" ht="15" customHeight="1" x14ac:dyDescent="0.25">
      <c r="A297" s="73" t="s">
        <v>27</v>
      </c>
      <c r="B297" s="63"/>
      <c r="C297" s="16"/>
      <c r="D297" s="16"/>
      <c r="E297" s="129"/>
      <c r="F297" s="17"/>
    </row>
    <row r="298" spans="1:7" ht="17.25" customHeight="1" x14ac:dyDescent="0.25">
      <c r="A298" s="70" t="s">
        <v>215</v>
      </c>
      <c r="B298" s="65"/>
      <c r="C298" s="20">
        <v>252596</v>
      </c>
      <c r="D298" s="20">
        <f>-3559-992-68</f>
        <v>-4619</v>
      </c>
      <c r="E298" s="130">
        <v>21663</v>
      </c>
      <c r="F298" s="21">
        <f>SUM(C298:E298)</f>
        <v>269640</v>
      </c>
    </row>
    <row r="299" spans="1:7" ht="15.75" customHeight="1" x14ac:dyDescent="0.25">
      <c r="A299" s="18" t="s">
        <v>238</v>
      </c>
      <c r="B299" s="65"/>
      <c r="C299" s="20">
        <v>1000</v>
      </c>
      <c r="D299" s="20">
        <v>0</v>
      </c>
      <c r="E299" s="130">
        <v>0</v>
      </c>
      <c r="F299" s="21">
        <f t="shared" ref="F299:F302" si="24">SUM(C299:E299)</f>
        <v>1000</v>
      </c>
    </row>
    <row r="300" spans="1:7" ht="17.25" customHeight="1" x14ac:dyDescent="0.25">
      <c r="A300" s="70" t="s">
        <v>239</v>
      </c>
      <c r="B300" s="65"/>
      <c r="C300" s="20">
        <v>0</v>
      </c>
      <c r="D300" s="20">
        <v>0</v>
      </c>
      <c r="E300" s="130">
        <v>278</v>
      </c>
      <c r="F300" s="21">
        <f t="shared" si="24"/>
        <v>278</v>
      </c>
    </row>
    <row r="301" spans="1:7" ht="26.25" customHeight="1" x14ac:dyDescent="0.25">
      <c r="A301" s="18" t="s">
        <v>230</v>
      </c>
      <c r="B301" s="65"/>
      <c r="C301" s="20">
        <v>0</v>
      </c>
      <c r="D301" s="20">
        <v>0</v>
      </c>
      <c r="E301" s="130">
        <v>3000</v>
      </c>
      <c r="F301" s="21">
        <f t="shared" si="24"/>
        <v>3000</v>
      </c>
    </row>
    <row r="302" spans="1:7" ht="18.75" customHeight="1" thickBot="1" x14ac:dyDescent="0.3">
      <c r="A302" s="71" t="s">
        <v>240</v>
      </c>
      <c r="B302" s="60"/>
      <c r="C302" s="24">
        <v>0</v>
      </c>
      <c r="D302" s="24">
        <v>0</v>
      </c>
      <c r="E302" s="131">
        <v>0</v>
      </c>
      <c r="F302" s="21">
        <f t="shared" si="24"/>
        <v>0</v>
      </c>
    </row>
    <row r="303" spans="1:7" ht="16.350000000000001" customHeight="1" thickBot="1" x14ac:dyDescent="0.3">
      <c r="A303" s="72" t="s">
        <v>184</v>
      </c>
      <c r="B303" s="66"/>
      <c r="C303" s="56">
        <f>SUM(C305:C311)</f>
        <v>8726.74</v>
      </c>
      <c r="D303" s="56">
        <f>SUM(D305:D311)</f>
        <v>-408.98</v>
      </c>
      <c r="E303" s="138">
        <f>SUM(E305:E311)</f>
        <v>239.58</v>
      </c>
      <c r="F303" s="57">
        <f>SUM(C303:E303)</f>
        <v>8557.34</v>
      </c>
      <c r="G303" s="30"/>
    </row>
    <row r="304" spans="1:7" ht="15" customHeight="1" x14ac:dyDescent="0.25">
      <c r="A304" s="73" t="s">
        <v>27</v>
      </c>
      <c r="B304" s="63"/>
      <c r="C304" s="16"/>
      <c r="D304" s="16"/>
      <c r="E304" s="129"/>
      <c r="F304" s="17"/>
    </row>
    <row r="305" spans="1:7" ht="16.5" customHeight="1" x14ac:dyDescent="0.25">
      <c r="A305" s="18" t="s">
        <v>241</v>
      </c>
      <c r="B305" s="88" t="s">
        <v>242</v>
      </c>
      <c r="C305" s="20">
        <v>5000</v>
      </c>
      <c r="D305" s="20">
        <v>0</v>
      </c>
      <c r="E305" s="130">
        <v>0</v>
      </c>
      <c r="F305" s="21">
        <f>SUM(C305:E305)</f>
        <v>5000</v>
      </c>
    </row>
    <row r="306" spans="1:7" ht="15" customHeight="1" x14ac:dyDescent="0.25">
      <c r="A306" s="70" t="s">
        <v>243</v>
      </c>
      <c r="B306" s="65"/>
      <c r="C306" s="20">
        <v>1000</v>
      </c>
      <c r="D306" s="20">
        <f>-408.98</f>
        <v>-408.98</v>
      </c>
      <c r="E306" s="130">
        <v>239.58</v>
      </c>
      <c r="F306" s="21">
        <f t="shared" ref="F306:F311" si="25">SUM(C306:E306)</f>
        <v>830.6</v>
      </c>
    </row>
    <row r="307" spans="1:7" ht="15" customHeight="1" x14ac:dyDescent="0.25">
      <c r="A307" s="70" t="s">
        <v>215</v>
      </c>
      <c r="B307" s="65"/>
      <c r="C307" s="20">
        <v>474.34</v>
      </c>
      <c r="D307" s="20">
        <v>0</v>
      </c>
      <c r="E307" s="130">
        <v>0</v>
      </c>
      <c r="F307" s="21">
        <f t="shared" si="25"/>
        <v>474.34</v>
      </c>
    </row>
    <row r="308" spans="1:7" ht="29.25" customHeight="1" x14ac:dyDescent="0.25">
      <c r="A308" s="18" t="s">
        <v>244</v>
      </c>
      <c r="B308" s="69" t="s">
        <v>195</v>
      </c>
      <c r="C308" s="20">
        <v>2012.4</v>
      </c>
      <c r="D308" s="20">
        <v>0</v>
      </c>
      <c r="E308" s="130">
        <v>0</v>
      </c>
      <c r="F308" s="21">
        <f t="shared" si="25"/>
        <v>2012.4</v>
      </c>
    </row>
    <row r="309" spans="1:7" ht="18" customHeight="1" x14ac:dyDescent="0.25">
      <c r="A309" s="18" t="s">
        <v>245</v>
      </c>
      <c r="B309" s="65"/>
      <c r="C309" s="20">
        <v>90</v>
      </c>
      <c r="D309" s="20">
        <v>0</v>
      </c>
      <c r="E309" s="130">
        <v>0</v>
      </c>
      <c r="F309" s="21">
        <f t="shared" si="25"/>
        <v>90</v>
      </c>
    </row>
    <row r="310" spans="1:7" ht="26.25" customHeight="1" x14ac:dyDescent="0.25">
      <c r="A310" s="18" t="s">
        <v>246</v>
      </c>
      <c r="B310" s="65"/>
      <c r="C310" s="20">
        <v>150</v>
      </c>
      <c r="D310" s="20">
        <v>0</v>
      </c>
      <c r="E310" s="130">
        <v>0</v>
      </c>
      <c r="F310" s="21">
        <f t="shared" si="25"/>
        <v>150</v>
      </c>
    </row>
    <row r="311" spans="1:7" ht="18.75" customHeight="1" thickBot="1" x14ac:dyDescent="0.3">
      <c r="A311" s="163" t="s">
        <v>247</v>
      </c>
      <c r="B311" s="152"/>
      <c r="C311" s="165">
        <v>0</v>
      </c>
      <c r="D311" s="165">
        <v>0</v>
      </c>
      <c r="E311" s="154">
        <v>0</v>
      </c>
      <c r="F311" s="155">
        <f t="shared" si="25"/>
        <v>0</v>
      </c>
    </row>
    <row r="312" spans="1:7" ht="15.75" customHeight="1" thickBot="1" x14ac:dyDescent="0.3">
      <c r="A312" s="72" t="s">
        <v>205</v>
      </c>
      <c r="B312" s="66"/>
      <c r="C312" s="56">
        <f>SUM(C314:C314)</f>
        <v>900</v>
      </c>
      <c r="D312" s="56">
        <f>SUM(D314)</f>
        <v>0</v>
      </c>
      <c r="E312" s="138">
        <f>SUM(E314)</f>
        <v>0</v>
      </c>
      <c r="F312" s="57">
        <f>SUM(C312:E312)</f>
        <v>900</v>
      </c>
      <c r="G312" s="30"/>
    </row>
    <row r="313" spans="1:7" ht="14.25" customHeight="1" x14ac:dyDescent="0.25">
      <c r="A313" s="73" t="s">
        <v>27</v>
      </c>
      <c r="B313" s="63"/>
      <c r="C313" s="16"/>
      <c r="D313" s="16"/>
      <c r="E313" s="129"/>
      <c r="F313" s="17"/>
    </row>
    <row r="314" spans="1:7" ht="17.25" customHeight="1" x14ac:dyDescent="0.25">
      <c r="A314" s="70" t="s">
        <v>215</v>
      </c>
      <c r="B314" s="65"/>
      <c r="C314" s="20">
        <v>900</v>
      </c>
      <c r="D314" s="20">
        <v>0</v>
      </c>
      <c r="E314" s="130">
        <v>0</v>
      </c>
      <c r="F314" s="21">
        <f>SUM(C314:E314)</f>
        <v>900</v>
      </c>
    </row>
    <row r="315" spans="1:7" ht="16.5" customHeight="1" thickBot="1" x14ac:dyDescent="0.3">
      <c r="A315" s="170" t="s">
        <v>207</v>
      </c>
      <c r="B315" s="166"/>
      <c r="C315" s="167">
        <f>SUM(C317:C317)</f>
        <v>23254</v>
      </c>
      <c r="D315" s="167">
        <f>SUM(D317)</f>
        <v>-8108.52</v>
      </c>
      <c r="E315" s="168">
        <f>SUM(E317)</f>
        <v>12735</v>
      </c>
      <c r="F315" s="169">
        <f>SUM(C315:E315)</f>
        <v>27880.48</v>
      </c>
      <c r="G315" s="30"/>
    </row>
    <row r="316" spans="1:7" ht="14.25" customHeight="1" x14ac:dyDescent="0.25">
      <c r="A316" s="73" t="s">
        <v>27</v>
      </c>
      <c r="B316" s="63"/>
      <c r="C316" s="16"/>
      <c r="D316" s="16"/>
      <c r="E316" s="129"/>
      <c r="F316" s="17"/>
    </row>
    <row r="317" spans="1:7" ht="18" customHeight="1" thickBot="1" x14ac:dyDescent="0.3">
      <c r="A317" s="71" t="s">
        <v>215</v>
      </c>
      <c r="B317" s="60"/>
      <c r="C317" s="24">
        <v>23254</v>
      </c>
      <c r="D317" s="24">
        <f>-5210.92-2944+46.4</f>
        <v>-8108.52</v>
      </c>
      <c r="E317" s="131">
        <v>12735</v>
      </c>
      <c r="F317" s="25">
        <f>SUM(C317:E317)</f>
        <v>27880.48</v>
      </c>
    </row>
    <row r="318" spans="1:7" ht="18" customHeight="1" thickBot="1" x14ac:dyDescent="0.3">
      <c r="A318" s="92" t="s">
        <v>209</v>
      </c>
      <c r="B318" s="66"/>
      <c r="C318" s="56">
        <f>SUM(C320:C321)</f>
        <v>900</v>
      </c>
      <c r="D318" s="56">
        <f>SUM(D320:D321)</f>
        <v>0</v>
      </c>
      <c r="E318" s="138">
        <f>SUM(E320:E321)</f>
        <v>1200</v>
      </c>
      <c r="F318" s="57">
        <f>SUM(C318:E318)</f>
        <v>2100</v>
      </c>
      <c r="G318" s="30"/>
    </row>
    <row r="319" spans="1:7" ht="16.5" customHeight="1" x14ac:dyDescent="0.25">
      <c r="A319" s="73" t="s">
        <v>27</v>
      </c>
      <c r="B319" s="63"/>
      <c r="C319" s="16"/>
      <c r="D319" s="16"/>
      <c r="E319" s="129"/>
      <c r="F319" s="17"/>
    </row>
    <row r="320" spans="1:7" ht="17.25" customHeight="1" x14ac:dyDescent="0.25">
      <c r="A320" s="70" t="s">
        <v>215</v>
      </c>
      <c r="B320" s="65"/>
      <c r="C320" s="20">
        <v>0</v>
      </c>
      <c r="D320" s="20">
        <v>0</v>
      </c>
      <c r="E320" s="130">
        <v>1200</v>
      </c>
      <c r="F320" s="21">
        <f>SUM(C320:E320)</f>
        <v>1200</v>
      </c>
    </row>
    <row r="321" spans="1:7" ht="27.75" customHeight="1" thickBot="1" x14ac:dyDescent="0.3">
      <c r="A321" s="90" t="s">
        <v>248</v>
      </c>
      <c r="B321" s="69" t="s">
        <v>36</v>
      </c>
      <c r="C321" s="20">
        <v>900</v>
      </c>
      <c r="D321" s="20">
        <v>0</v>
      </c>
      <c r="E321" s="130">
        <v>0</v>
      </c>
      <c r="F321" s="21">
        <f>SUM(C321:E321)</f>
        <v>900</v>
      </c>
    </row>
    <row r="322" spans="1:7" ht="17.25" customHeight="1" thickBot="1" x14ac:dyDescent="0.3">
      <c r="A322" s="93" t="s">
        <v>249</v>
      </c>
      <c r="B322" s="94"/>
      <c r="C322" s="95">
        <f>SUM(C237+C240+C245+C255+C259+C263+C280+C284+C292+C296+C303+C312+C315+C318)</f>
        <v>532078.65</v>
      </c>
      <c r="D322" s="95">
        <f>SUM(D237+D240+D245+D255+D259+D263+D280+D284+D292+D296+D303+D312+D315+D318)</f>
        <v>-4251.8099999999995</v>
      </c>
      <c r="E322" s="95">
        <f>SUM(E237+E240+E245+E255+E259+E263+E280+E284+E292+E296+E303+E312+E315+E318)</f>
        <v>213549.84999999998</v>
      </c>
      <c r="F322" s="96">
        <f>SUM(C322:E322)</f>
        <v>741376.69</v>
      </c>
      <c r="G322" s="30"/>
    </row>
    <row r="323" spans="1:7" ht="18" customHeight="1" thickBot="1" x14ac:dyDescent="0.3">
      <c r="A323" s="108" t="s">
        <v>250</v>
      </c>
      <c r="B323" s="109"/>
      <c r="C323" s="95">
        <f>C234+C322</f>
        <v>2085807.56</v>
      </c>
      <c r="D323" s="95">
        <f>SUM(D234+D322)</f>
        <v>1835.6200000000008</v>
      </c>
      <c r="E323" s="95">
        <f>SUM(E234+E322)</f>
        <v>272356.37</v>
      </c>
      <c r="F323" s="96">
        <f>SUM(C323:E323)</f>
        <v>2359999.5500000003</v>
      </c>
      <c r="G323" s="30"/>
    </row>
    <row r="324" spans="1:7" ht="16.5" customHeight="1" thickBot="1" x14ac:dyDescent="0.3">
      <c r="A324" s="158"/>
      <c r="B324" s="159"/>
      <c r="C324" s="160"/>
      <c r="D324" s="160"/>
      <c r="E324" s="144"/>
      <c r="F324" s="117"/>
    </row>
    <row r="325" spans="1:7" ht="20.25" customHeight="1" thickBot="1" x14ac:dyDescent="0.3">
      <c r="A325" s="35" t="s">
        <v>251</v>
      </c>
      <c r="B325" s="110"/>
      <c r="C325" s="37"/>
      <c r="D325" s="37"/>
      <c r="E325" s="134"/>
      <c r="F325" s="38"/>
    </row>
    <row r="326" spans="1:7" ht="15" customHeight="1" x14ac:dyDescent="0.25">
      <c r="A326" s="14" t="s">
        <v>252</v>
      </c>
      <c r="B326" s="63"/>
      <c r="C326" s="16">
        <v>12000</v>
      </c>
      <c r="D326" s="16">
        <v>0</v>
      </c>
      <c r="E326" s="129">
        <v>204</v>
      </c>
      <c r="F326" s="17">
        <f>SUM(C326:E326)</f>
        <v>12204</v>
      </c>
    </row>
    <row r="327" spans="1:7" ht="17.25" customHeight="1" x14ac:dyDescent="0.25">
      <c r="A327" s="18" t="s">
        <v>253</v>
      </c>
      <c r="B327" s="65"/>
      <c r="C327" s="20">
        <v>0</v>
      </c>
      <c r="D327" s="20">
        <v>0</v>
      </c>
      <c r="E327" s="130">
        <v>0</v>
      </c>
      <c r="F327" s="17">
        <f t="shared" ref="F327:F332" si="26">SUM(C327:E327)</f>
        <v>0</v>
      </c>
    </row>
    <row r="328" spans="1:7" ht="17.25" customHeight="1" x14ac:dyDescent="0.25">
      <c r="A328" s="18" t="s">
        <v>254</v>
      </c>
      <c r="B328" s="65"/>
      <c r="C328" s="20">
        <v>0</v>
      </c>
      <c r="D328" s="20">
        <v>0</v>
      </c>
      <c r="E328" s="130">
        <v>0</v>
      </c>
      <c r="F328" s="17">
        <f t="shared" si="26"/>
        <v>0</v>
      </c>
    </row>
    <row r="329" spans="1:7" ht="15" customHeight="1" x14ac:dyDescent="0.25">
      <c r="A329" s="18" t="s">
        <v>255</v>
      </c>
      <c r="B329" s="65"/>
      <c r="C329" s="20">
        <v>2859</v>
      </c>
      <c r="D329" s="20">
        <v>0</v>
      </c>
      <c r="E329" s="130">
        <v>0</v>
      </c>
      <c r="F329" s="17">
        <f t="shared" si="26"/>
        <v>2859</v>
      </c>
    </row>
    <row r="330" spans="1:7" ht="15" customHeight="1" x14ac:dyDescent="0.25">
      <c r="A330" s="18" t="s">
        <v>256</v>
      </c>
      <c r="B330" s="65"/>
      <c r="C330" s="20">
        <v>0</v>
      </c>
      <c r="D330" s="20">
        <v>0</v>
      </c>
      <c r="E330" s="130">
        <v>0</v>
      </c>
      <c r="F330" s="17">
        <f t="shared" si="26"/>
        <v>0</v>
      </c>
    </row>
    <row r="331" spans="1:7" ht="15" customHeight="1" x14ac:dyDescent="0.25">
      <c r="A331" s="18" t="s">
        <v>257</v>
      </c>
      <c r="B331" s="65"/>
      <c r="C331" s="20">
        <v>0</v>
      </c>
      <c r="D331" s="20">
        <v>0</v>
      </c>
      <c r="E331" s="130">
        <v>0</v>
      </c>
      <c r="F331" s="17">
        <f t="shared" si="26"/>
        <v>0</v>
      </c>
    </row>
    <row r="332" spans="1:7" ht="15" customHeight="1" thickBot="1" x14ac:dyDescent="0.3">
      <c r="A332" s="22" t="s">
        <v>258</v>
      </c>
      <c r="B332" s="60"/>
      <c r="C332" s="24">
        <v>40563.1</v>
      </c>
      <c r="D332" s="24">
        <v>0</v>
      </c>
      <c r="E332" s="131">
        <v>0</v>
      </c>
      <c r="F332" s="17">
        <f t="shared" si="26"/>
        <v>40563.1</v>
      </c>
    </row>
    <row r="333" spans="1:7" ht="18.75" customHeight="1" thickBot="1" x14ac:dyDescent="0.3">
      <c r="A333" s="35" t="s">
        <v>259</v>
      </c>
      <c r="B333" s="111"/>
      <c r="C333" s="44">
        <f t="shared" ref="C333" si="27">SUM(C326:C332)</f>
        <v>55422.1</v>
      </c>
      <c r="D333" s="44">
        <f>SUM(D326:D332)</f>
        <v>0</v>
      </c>
      <c r="E333" s="135">
        <f>SUM(E326:E332)</f>
        <v>204</v>
      </c>
      <c r="F333" s="45">
        <f>SUM(C333:E333)</f>
        <v>55626.1</v>
      </c>
      <c r="G333" s="30"/>
    </row>
    <row r="334" spans="1:7" ht="18.75" customHeight="1" thickBot="1" x14ac:dyDescent="0.3">
      <c r="A334" s="46" t="s">
        <v>260</v>
      </c>
      <c r="B334" s="112"/>
      <c r="C334" s="48">
        <f>C323+C333</f>
        <v>2141229.66</v>
      </c>
      <c r="D334" s="48">
        <f>SUM(D323+D333)</f>
        <v>1835.6200000000008</v>
      </c>
      <c r="E334" s="48">
        <f>SUM(E323+E333)</f>
        <v>272560.37</v>
      </c>
      <c r="F334" s="49">
        <f>SUM(C334:E334)</f>
        <v>2415625.6500000004</v>
      </c>
      <c r="G334" s="30"/>
    </row>
    <row r="335" spans="1:7" ht="12.75" customHeight="1" thickBot="1" x14ac:dyDescent="0.3">
      <c r="A335" s="122"/>
      <c r="B335" s="123"/>
      <c r="C335" s="124"/>
      <c r="D335" s="124"/>
      <c r="E335" s="139"/>
      <c r="F335" s="100"/>
    </row>
    <row r="336" spans="1:7" ht="30.75" thickBot="1" x14ac:dyDescent="0.3">
      <c r="A336" s="35" t="s">
        <v>261</v>
      </c>
      <c r="B336" s="110"/>
      <c r="C336" s="37"/>
      <c r="D336" s="37"/>
      <c r="E336" s="134"/>
      <c r="F336" s="38"/>
    </row>
    <row r="337" spans="1:7" ht="16.5" customHeight="1" thickBot="1" x14ac:dyDescent="0.3">
      <c r="A337" s="114" t="s">
        <v>262</v>
      </c>
      <c r="B337" s="115"/>
      <c r="C337" s="116">
        <v>0</v>
      </c>
      <c r="D337" s="116">
        <v>0</v>
      </c>
      <c r="E337" s="144">
        <v>0</v>
      </c>
      <c r="F337" s="117">
        <f>SUM(C337:E337)</f>
        <v>0</v>
      </c>
    </row>
    <row r="338" spans="1:7" ht="30.75" thickBot="1" x14ac:dyDescent="0.3">
      <c r="A338" s="113" t="s">
        <v>263</v>
      </c>
      <c r="B338" s="118"/>
      <c r="C338" s="119">
        <f>SUM(C337)</f>
        <v>0</v>
      </c>
      <c r="D338" s="119">
        <f>SUM(D337)</f>
        <v>0</v>
      </c>
      <c r="E338" s="145">
        <f>SUM(E337)</f>
        <v>0</v>
      </c>
      <c r="F338" s="120">
        <f>SUM(C338:E338)</f>
        <v>0</v>
      </c>
      <c r="G338" s="30"/>
    </row>
    <row r="339" spans="1:7" ht="9" customHeight="1" x14ac:dyDescent="0.25"/>
    <row r="340" spans="1:7" ht="11.25" customHeight="1" x14ac:dyDescent="0.25">
      <c r="A340" s="121"/>
      <c r="B340" s="121"/>
      <c r="C340" s="121"/>
      <c r="D340" s="121"/>
      <c r="E340" s="121"/>
      <c r="F340" s="121"/>
    </row>
    <row r="341" spans="1:7" hidden="1" x14ac:dyDescent="0.25">
      <c r="A341" s="121"/>
      <c r="B341" s="121"/>
      <c r="C341" s="121"/>
      <c r="D341" s="121"/>
      <c r="E341" s="121"/>
      <c r="F341" s="121"/>
    </row>
  </sheetData>
  <sheetProtection algorithmName="SHA-512" hashValue="x/tnbLBGyujA+m37PCmJwIis//GlMArRkeZ5G9xIr3vQWG/dO9rUPMc5W781G7XFn8/HxjUQ3ae2nJJofN2LJA==" saltValue="0cWlYJWUuLn/IUn8tg0GN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1. změně a po RO RM č. 1 - 34 
&amp;"-,Obyčejné"Zpracovala: Mgr. Andrea Oháňková, FO
&amp;RStrana &amp;P
celkem 16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1.ZR a RORM 1-34-CEL</vt:lpstr>
      <vt:lpstr>'ZU 2024 po 1.ZR a RORM 1-34-CEL'!Názvy_tisku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2024-02-29T09:31:19Z</cp:lastPrinted>
  <dcterms:created xsi:type="dcterms:W3CDTF">2024-01-31T13:47:41Z</dcterms:created>
  <dcterms:modified xsi:type="dcterms:W3CDTF">2024-03-15T06:53:29Z</dcterms:modified>
</cp:coreProperties>
</file>